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Livorova\Vyrocni zpravy\VZ o hospodareni\"/>
    </mc:Choice>
  </mc:AlternateContent>
  <xr:revisionPtr revIDLastSave="0" documentId="13_ncr:1_{1273B0C2-66B6-46F7-BCBD-BA10DFA30667}" xr6:coauthVersionLast="47" xr6:coauthVersionMax="47" xr10:uidLastSave="{00000000-0000-0000-0000-000000000000}"/>
  <bookViews>
    <workbookView xWindow="-96" yWindow="-96" windowWidth="30912" windowHeight="16872" activeTab="16" xr2:uid="{00000000-000D-0000-FFFF-FFFF00000000}"/>
  </bookViews>
  <sheets>
    <sheet name="Titulní list" sheetId="16" r:id="rId1"/>
    <sheet name="Rozpočet TUL" sheetId="18" r:id="rId2"/>
    <sheet name="Dodatek rozpočtu" sheetId="19" r:id="rId3"/>
    <sheet name="Rozpočet FMIMS" sheetId="11" r:id="rId4"/>
    <sheet name="HV 2025 přehled" sheetId="17" r:id="rId5"/>
    <sheet name="Hospodaření_106" sheetId="12" r:id="rId6"/>
    <sheet name="DFM čerpání" sheetId="9" r:id="rId7"/>
    <sheet name="DFM_SFM mzdove náklady" sheetId="14" r:id="rId8"/>
    <sheet name="Projekty" sheetId="7" r:id="rId9"/>
    <sheet name="117" sheetId="4" r:id="rId10"/>
    <sheet name="SGS" sheetId="1" r:id="rId11"/>
    <sheet name="Ostatní činnost" sheetId="8" r:id="rId12"/>
    <sheet name="Doplňková činnost" sheetId="6" r:id="rId13"/>
    <sheet name="Stipendia" sheetId="5" r:id="rId14"/>
    <sheet name="Rezervní fond" sheetId="2" r:id="rId15"/>
    <sheet name="FRIM" sheetId="3" r:id="rId16"/>
    <sheet name="Přehled_závěr" sheetId="15" r:id="rId17"/>
  </sheets>
  <definedNames>
    <definedName name="_FilterDatabase" localSheetId="8" hidden="1">Projekty!$J$2:$J$39</definedName>
    <definedName name="druhy" localSheetId="8">Projekty!$A$1:$J$71</definedName>
    <definedName name="_xlnm.Print_Area" localSheetId="9">'117'!$A$1:$I$45</definedName>
    <definedName name="_xlnm.Print_Area" localSheetId="6">'DFM čerpání'!$A$1:$P$57</definedName>
    <definedName name="_xlnm.Print_Area" localSheetId="7">'DFM_SFM mzdove náklady'!$A$1:$J$40</definedName>
    <definedName name="_xlnm.Print_Area" localSheetId="12">'Doplňková činnost'!$A$1:$M$60</definedName>
    <definedName name="_xlnm.Print_Area" localSheetId="15">FRIM!$A$1:$F$41</definedName>
    <definedName name="_xlnm.Print_Area" localSheetId="5">Hospodaření_106!$A$1:$H$91</definedName>
    <definedName name="_xlnm.Print_Area" localSheetId="4">'HV 2025 přehled'!$A$1:$G$49</definedName>
    <definedName name="_xlnm.Print_Area" localSheetId="11">'Ostatní činnost'!$A$1:$H$26</definedName>
    <definedName name="_xlnm.Print_Area" localSheetId="8">Projekty!$A$1:$J$83</definedName>
    <definedName name="_xlnm.Print_Area" localSheetId="16">Přehled_závěr!$A$1:$H$30</definedName>
    <definedName name="_xlnm.Print_Area" localSheetId="14">'Rezervní fond'!$A$1:$E$26</definedName>
    <definedName name="_xlnm.Print_Area" localSheetId="3">'Rozpočet FMIMS'!$A$1:$I$22</definedName>
    <definedName name="_xlnm.Print_Area" localSheetId="10">SGS!$A$1:$K$39</definedName>
    <definedName name="_xlnm.Print_Area" localSheetId="13">Stipendia!$A$1:$H$42</definedName>
    <definedName name="Print_Area" localSheetId="9">'117'!$A$1:$I$41</definedName>
    <definedName name="Print_Area" localSheetId="6">'DFM čerpání'!$A$1:$P$43</definedName>
    <definedName name="Print_Area" localSheetId="7">'DFM_SFM mzdove náklady'!$A$1:$K$40</definedName>
    <definedName name="Print_Area" localSheetId="12">'Doplňková činnost'!$A$1:$M$46</definedName>
    <definedName name="Print_Area" localSheetId="15">FRIM!$A$1:$G$41</definedName>
    <definedName name="Print_Area" localSheetId="5">Hospodaření_106!$A$1:$H$79</definedName>
    <definedName name="Print_Area" localSheetId="4">'HV 2025 přehled'!$A$1:$G$41</definedName>
    <definedName name="Print_Area" localSheetId="11">'Ostatní činnost'!$A$1:$H$24</definedName>
    <definedName name="Print_Area" localSheetId="8">Projekty!$A$1:$J$71</definedName>
    <definedName name="Print_Area" localSheetId="16">Přehled_závěr!$A$1:$H$31</definedName>
    <definedName name="Print_Area" localSheetId="14">'Rezervní fond'!$A$1:$F$21</definedName>
    <definedName name="Print_Area" localSheetId="3">'Rozpočet FMIMS'!$A$1:$H$21</definedName>
    <definedName name="Print_Area" localSheetId="10">SGS!$A$1:$L$39</definedName>
    <definedName name="Print_Area" localSheetId="13">Stipendia!$A$1:$H$40</definedName>
    <definedName name="Print_Area" localSheetId="0">'Titulní list'!$A$1:$G$42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  <c r="C40" i="3"/>
  <c r="C39" i="3"/>
  <c r="C38" i="3"/>
  <c r="C22" i="5" l="1"/>
  <c r="E62" i="7" l="1"/>
  <c r="E59" i="7"/>
  <c r="H19" i="7"/>
  <c r="H18" i="7"/>
  <c r="H36" i="7"/>
  <c r="F21" i="9"/>
  <c r="M10" i="9"/>
  <c r="F10" i="9"/>
  <c r="O10" i="9" s="1"/>
  <c r="I14" i="4"/>
  <c r="E10" i="17" l="1"/>
  <c r="I24" i="14"/>
  <c r="G24" i="14"/>
  <c r="E24" i="14"/>
  <c r="I26" i="14"/>
  <c r="G26" i="14"/>
  <c r="E26" i="14"/>
  <c r="I19" i="14"/>
  <c r="G19" i="14"/>
  <c r="E19" i="14"/>
  <c r="E17" i="14"/>
  <c r="E13" i="14"/>
  <c r="I13" i="14"/>
  <c r="G13" i="14"/>
  <c r="I11" i="14"/>
  <c r="I9" i="14"/>
  <c r="G9" i="14"/>
  <c r="E9" i="14"/>
  <c r="G7" i="14"/>
  <c r="E7" i="14"/>
  <c r="I5" i="14"/>
  <c r="G5" i="14"/>
  <c r="E5" i="14"/>
  <c r="I7" i="14"/>
  <c r="H91" i="12"/>
  <c r="H88" i="12"/>
  <c r="H66" i="12"/>
  <c r="H51" i="12"/>
  <c r="H31" i="12"/>
  <c r="H25" i="12"/>
  <c r="H10" i="12"/>
  <c r="C49" i="17" l="1"/>
  <c r="B49" i="17"/>
  <c r="M21" i="9" l="1"/>
  <c r="O21" i="9" s="1"/>
  <c r="F37" i="9"/>
  <c r="M37" i="9"/>
  <c r="G69" i="7"/>
  <c r="H26" i="7"/>
  <c r="H25" i="7"/>
  <c r="H4" i="7"/>
  <c r="H5" i="7"/>
  <c r="F23" i="4"/>
  <c r="H14" i="4"/>
  <c r="F40" i="4"/>
  <c r="O37" i="9" l="1"/>
  <c r="E40" i="4"/>
  <c r="D40" i="4" l="1"/>
  <c r="F41" i="6"/>
  <c r="I21" i="6"/>
  <c r="B11" i="3"/>
  <c r="G29" i="1" l="1"/>
  <c r="H29" i="1" s="1"/>
  <c r="G16" i="1"/>
  <c r="J33" i="1"/>
  <c r="J30" i="1"/>
  <c r="J28" i="1"/>
  <c r="J27" i="1"/>
  <c r="G27" i="1"/>
  <c r="J26" i="1"/>
  <c r="J25" i="1"/>
  <c r="J24" i="1"/>
  <c r="J23" i="1"/>
  <c r="G23" i="1"/>
  <c r="J22" i="1"/>
  <c r="J21" i="1"/>
  <c r="J20" i="1"/>
  <c r="G20" i="1"/>
  <c r="J19" i="1"/>
  <c r="J18" i="1"/>
  <c r="J17" i="1"/>
  <c r="J15" i="1"/>
  <c r="J14" i="1"/>
  <c r="H28" i="1"/>
  <c r="K28" i="1" s="1"/>
  <c r="J29" i="1" l="1"/>
  <c r="K29" i="1" s="1"/>
  <c r="H5" i="8" l="1"/>
  <c r="D35" i="5" l="1"/>
  <c r="H71" i="12"/>
  <c r="I12" i="19" l="1"/>
  <c r="H12" i="19"/>
  <c r="G12" i="19"/>
  <c r="F12" i="19"/>
  <c r="E12" i="19"/>
  <c r="J12" i="19" s="1"/>
  <c r="D12" i="19"/>
  <c r="C12" i="19"/>
  <c r="B12" i="19"/>
  <c r="H13" i="19" l="1"/>
  <c r="H14" i="19" s="1"/>
  <c r="D13" i="19"/>
  <c r="D14" i="19" s="1"/>
  <c r="B13" i="19"/>
  <c r="B14" i="19" s="1"/>
  <c r="F13" i="19"/>
  <c r="F14" i="19" s="1"/>
  <c r="C13" i="19"/>
  <c r="C14" i="19" s="1"/>
  <c r="G13" i="19"/>
  <c r="G14" i="19" s="1"/>
  <c r="E13" i="19"/>
  <c r="E14" i="19" s="1"/>
  <c r="G38" i="18"/>
  <c r="C38" i="18"/>
  <c r="J37" i="18"/>
  <c r="J36" i="18"/>
  <c r="F38" i="18" s="1"/>
  <c r="J31" i="18"/>
  <c r="J29" i="18"/>
  <c r="K29" i="18" s="1"/>
  <c r="J28" i="18"/>
  <c r="K28" i="18" s="1"/>
  <c r="I23" i="18"/>
  <c r="H23" i="18"/>
  <c r="G23" i="18"/>
  <c r="F23" i="18"/>
  <c r="E23" i="18"/>
  <c r="D23" i="18"/>
  <c r="C23" i="18"/>
  <c r="B23" i="18"/>
  <c r="J23" i="18" s="1"/>
  <c r="K23" i="18" s="1"/>
  <c r="J22" i="18"/>
  <c r="K22" i="18" s="1"/>
  <c r="J21" i="18"/>
  <c r="K21" i="18" s="1"/>
  <c r="J20" i="18"/>
  <c r="K20" i="18" s="1"/>
  <c r="J19" i="18"/>
  <c r="K19" i="18" s="1"/>
  <c r="J18" i="18"/>
  <c r="K18" i="18" s="1"/>
  <c r="J17" i="18"/>
  <c r="K17" i="18" s="1"/>
  <c r="J16" i="18"/>
  <c r="K16" i="18" s="1"/>
  <c r="J15" i="18"/>
  <c r="K15" i="18" s="1"/>
  <c r="D38" i="18" l="1"/>
  <c r="H38" i="18"/>
  <c r="J30" i="18"/>
  <c r="K30" i="18" s="1"/>
  <c r="E38" i="18"/>
  <c r="I38" i="18"/>
  <c r="B38" i="18"/>
  <c r="J38" i="18" l="1"/>
  <c r="C21" i="15" l="1"/>
  <c r="C16" i="15"/>
  <c r="C11" i="15"/>
  <c r="C6" i="15"/>
  <c r="D21" i="15"/>
  <c r="D11" i="15"/>
  <c r="D6" i="15"/>
  <c r="G22" i="4" l="1"/>
  <c r="D16" i="15"/>
  <c r="E22" i="4" l="1"/>
  <c r="D22" i="4"/>
  <c r="D28" i="14" l="1"/>
  <c r="C21" i="14"/>
  <c r="I17" i="14"/>
  <c r="G17" i="14"/>
  <c r="I15" i="14"/>
  <c r="G15" i="14"/>
  <c r="G11" i="14"/>
  <c r="E11" i="14"/>
  <c r="G82" i="7"/>
  <c r="M29" i="9" l="1"/>
  <c r="F29" i="9"/>
  <c r="M35" i="9"/>
  <c r="F35" i="9"/>
  <c r="O29" i="9" l="1"/>
  <c r="O35" i="9"/>
  <c r="H17" i="12" l="1"/>
  <c r="H20" i="7" l="1"/>
  <c r="H21" i="7"/>
  <c r="H22" i="7"/>
  <c r="H23" i="7"/>
  <c r="H24" i="7"/>
  <c r="H27" i="7"/>
  <c r="H28" i="7"/>
  <c r="H29" i="7"/>
  <c r="H13" i="7"/>
  <c r="H12" i="7"/>
  <c r="H11" i="7"/>
  <c r="H10" i="7"/>
  <c r="H9" i="7"/>
  <c r="H8" i="7"/>
  <c r="H7" i="7"/>
  <c r="H11" i="15" l="1"/>
  <c r="H6" i="15" l="1"/>
  <c r="F33" i="6"/>
  <c r="F42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L11" i="6"/>
  <c r="L4" i="6"/>
  <c r="L9" i="6"/>
  <c r="L5" i="6"/>
  <c r="L6" i="6"/>
  <c r="L7" i="6"/>
  <c r="L8" i="6"/>
  <c r="L10" i="6"/>
  <c r="L12" i="6"/>
  <c r="L13" i="6"/>
  <c r="L14" i="6"/>
  <c r="L15" i="6"/>
  <c r="L16" i="6"/>
  <c r="L17" i="6"/>
  <c r="L18" i="6"/>
  <c r="L19" i="6"/>
  <c r="L21" i="6" l="1"/>
  <c r="F34" i="1"/>
  <c r="F31" i="1"/>
  <c r="D16" i="3" l="1"/>
  <c r="C16" i="3"/>
  <c r="B16" i="3"/>
  <c r="F12" i="3"/>
  <c r="F11" i="3"/>
  <c r="E16" i="3"/>
  <c r="F9" i="3"/>
  <c r="F8" i="3"/>
  <c r="F7" i="3"/>
  <c r="D16" i="2"/>
  <c r="C16" i="2"/>
  <c r="B16" i="2"/>
  <c r="E12" i="2"/>
  <c r="E11" i="2"/>
  <c r="E10" i="2"/>
  <c r="D36" i="5"/>
  <c r="D28" i="5"/>
  <c r="G8" i="5"/>
  <c r="F8" i="5"/>
  <c r="E8" i="5"/>
  <c r="D8" i="5"/>
  <c r="C8" i="5"/>
  <c r="H7" i="5"/>
  <c r="H6" i="5"/>
  <c r="H5" i="5"/>
  <c r="H4" i="5"/>
  <c r="G19" i="8"/>
  <c r="F19" i="8"/>
  <c r="G18" i="8"/>
  <c r="F18" i="8"/>
  <c r="G17" i="8"/>
  <c r="F17" i="8"/>
  <c r="G16" i="8"/>
  <c r="F16" i="8"/>
  <c r="F20" i="8" s="1"/>
  <c r="G7" i="8"/>
  <c r="F7" i="8"/>
  <c r="H6" i="8"/>
  <c r="H4" i="8"/>
  <c r="G60" i="6"/>
  <c r="F60" i="6"/>
  <c r="D59" i="6"/>
  <c r="D58" i="6"/>
  <c r="D57" i="6"/>
  <c r="D56" i="6"/>
  <c r="G43" i="6"/>
  <c r="F43" i="6"/>
  <c r="G42" i="6"/>
  <c r="G41" i="6"/>
  <c r="G40" i="6"/>
  <c r="F40" i="6"/>
  <c r="G35" i="6"/>
  <c r="F35" i="6"/>
  <c r="G34" i="6"/>
  <c r="F34" i="6"/>
  <c r="G33" i="6"/>
  <c r="G32" i="6"/>
  <c r="F32" i="6"/>
  <c r="J21" i="6"/>
  <c r="G21" i="6"/>
  <c r="F21" i="6"/>
  <c r="M20" i="6"/>
  <c r="L20" i="6"/>
  <c r="M19" i="6"/>
  <c r="M4" i="6"/>
  <c r="G34" i="1"/>
  <c r="H33" i="1"/>
  <c r="K33" i="1" s="1"/>
  <c r="H32" i="1"/>
  <c r="J32" i="1" s="1"/>
  <c r="G31" i="1"/>
  <c r="H30" i="1"/>
  <c r="K30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H17" i="1"/>
  <c r="K17" i="1" s="1"/>
  <c r="H16" i="1"/>
  <c r="H15" i="1"/>
  <c r="K15" i="1" s="1"/>
  <c r="H14" i="1"/>
  <c r="H13" i="1"/>
  <c r="G42" i="4"/>
  <c r="G23" i="4" s="1"/>
  <c r="F42" i="4"/>
  <c r="E42" i="4"/>
  <c r="D42" i="4"/>
  <c r="H41" i="4"/>
  <c r="H40" i="4"/>
  <c r="H42" i="4" s="1"/>
  <c r="G36" i="4"/>
  <c r="G45" i="4" s="1"/>
  <c r="F36" i="4"/>
  <c r="F45" i="4" s="1"/>
  <c r="E36" i="4"/>
  <c r="D36" i="4"/>
  <c r="H35" i="4"/>
  <c r="H34" i="4"/>
  <c r="H33" i="4"/>
  <c r="H32" i="4"/>
  <c r="H31" i="4"/>
  <c r="H30" i="4"/>
  <c r="H24" i="4"/>
  <c r="F22" i="4"/>
  <c r="H21" i="4"/>
  <c r="H20" i="4"/>
  <c r="H19" i="4"/>
  <c r="H18" i="4"/>
  <c r="H17" i="4"/>
  <c r="H16" i="4"/>
  <c r="H15" i="4"/>
  <c r="H13" i="4"/>
  <c r="H12" i="4"/>
  <c r="H11" i="4"/>
  <c r="H10" i="4"/>
  <c r="H9" i="4"/>
  <c r="H8" i="4"/>
  <c r="H7" i="4"/>
  <c r="H6" i="4"/>
  <c r="H5" i="4"/>
  <c r="H4" i="4"/>
  <c r="D35" i="14"/>
  <c r="E35" i="14" s="1"/>
  <c r="D34" i="14"/>
  <c r="C28" i="14"/>
  <c r="C34" i="14" s="1"/>
  <c r="A26" i="14"/>
  <c r="H26" i="14" s="1"/>
  <c r="I28" i="14"/>
  <c r="E28" i="14"/>
  <c r="A24" i="14"/>
  <c r="D21" i="14"/>
  <c r="D33" i="14" s="1"/>
  <c r="C33" i="14"/>
  <c r="A19" i="14"/>
  <c r="H19" i="14" s="1"/>
  <c r="A17" i="14"/>
  <c r="H17" i="14" s="1"/>
  <c r="A15" i="14"/>
  <c r="A13" i="14"/>
  <c r="J13" i="14" s="1"/>
  <c r="A11" i="14"/>
  <c r="H11" i="14" s="1"/>
  <c r="A9" i="14"/>
  <c r="J9" i="14" s="1"/>
  <c r="A7" i="14"/>
  <c r="A5" i="14"/>
  <c r="G81" i="7"/>
  <c r="G80" i="7"/>
  <c r="G79" i="7"/>
  <c r="G78" i="7"/>
  <c r="G77" i="7"/>
  <c r="G76" i="7"/>
  <c r="F72" i="7"/>
  <c r="E72" i="7"/>
  <c r="G71" i="7"/>
  <c r="G70" i="7"/>
  <c r="G68" i="7"/>
  <c r="D62" i="7"/>
  <c r="E61" i="7"/>
  <c r="D61" i="7"/>
  <c r="E60" i="7"/>
  <c r="D60" i="7"/>
  <c r="D59" i="7"/>
  <c r="E58" i="7"/>
  <c r="D58" i="7"/>
  <c r="E57" i="7"/>
  <c r="D57" i="7"/>
  <c r="E56" i="7"/>
  <c r="D56" i="7"/>
  <c r="E55" i="7"/>
  <c r="D55" i="7"/>
  <c r="E50" i="7"/>
  <c r="D50" i="7"/>
  <c r="F21" i="15" s="1"/>
  <c r="E49" i="7"/>
  <c r="D49" i="7"/>
  <c r="F16" i="15" s="1"/>
  <c r="E48" i="7"/>
  <c r="D48" i="7"/>
  <c r="F11" i="15" s="1"/>
  <c r="E47" i="7"/>
  <c r="D47" i="7"/>
  <c r="F6" i="15" s="1"/>
  <c r="G40" i="7"/>
  <c r="F40" i="7"/>
  <c r="H39" i="7"/>
  <c r="H38" i="7"/>
  <c r="H37" i="7"/>
  <c r="H35" i="7"/>
  <c r="H34" i="7"/>
  <c r="H33" i="7"/>
  <c r="H32" i="7"/>
  <c r="H31" i="7"/>
  <c r="H30" i="7"/>
  <c r="H17" i="7"/>
  <c r="H16" i="7"/>
  <c r="H15" i="7"/>
  <c r="H14" i="7"/>
  <c r="H6" i="7"/>
  <c r="H3" i="7"/>
  <c r="L49" i="9"/>
  <c r="O56" i="9" s="1"/>
  <c r="K49" i="9"/>
  <c r="O55" i="9" s="1"/>
  <c r="J49" i="9"/>
  <c r="I49" i="9"/>
  <c r="O53" i="9" s="1"/>
  <c r="H49" i="9"/>
  <c r="E49" i="9"/>
  <c r="D49" i="9"/>
  <c r="M48" i="9"/>
  <c r="F48" i="9"/>
  <c r="M47" i="9"/>
  <c r="F47" i="9"/>
  <c r="M46" i="9"/>
  <c r="F46" i="9"/>
  <c r="M45" i="9"/>
  <c r="F45" i="9"/>
  <c r="M44" i="9"/>
  <c r="F44" i="9"/>
  <c r="M43" i="9"/>
  <c r="F43" i="9"/>
  <c r="M42" i="9"/>
  <c r="F42" i="9"/>
  <c r="M41" i="9"/>
  <c r="F41" i="9"/>
  <c r="M40" i="9"/>
  <c r="F40" i="9"/>
  <c r="M39" i="9"/>
  <c r="F39" i="9"/>
  <c r="M38" i="9"/>
  <c r="F38" i="9"/>
  <c r="M36" i="9"/>
  <c r="F36" i="9"/>
  <c r="M34" i="9"/>
  <c r="F34" i="9"/>
  <c r="M33" i="9"/>
  <c r="F33" i="9"/>
  <c r="M32" i="9"/>
  <c r="F32" i="9"/>
  <c r="M31" i="9"/>
  <c r="F31" i="9"/>
  <c r="M30" i="9"/>
  <c r="F30" i="9"/>
  <c r="M28" i="9"/>
  <c r="F28" i="9"/>
  <c r="M27" i="9"/>
  <c r="F27" i="9"/>
  <c r="M26" i="9"/>
  <c r="F26" i="9"/>
  <c r="M25" i="9"/>
  <c r="F25" i="9"/>
  <c r="M24" i="9"/>
  <c r="F24" i="9"/>
  <c r="M23" i="9"/>
  <c r="F23" i="9"/>
  <c r="M22" i="9"/>
  <c r="F22" i="9"/>
  <c r="M20" i="9"/>
  <c r="F20" i="9"/>
  <c r="M19" i="9"/>
  <c r="F19" i="9"/>
  <c r="M18" i="9"/>
  <c r="F18" i="9"/>
  <c r="M17" i="9"/>
  <c r="F17" i="9"/>
  <c r="M16" i="9"/>
  <c r="F16" i="9"/>
  <c r="M15" i="9"/>
  <c r="F15" i="9"/>
  <c r="M14" i="9"/>
  <c r="F14" i="9"/>
  <c r="M13" i="9"/>
  <c r="F13" i="9"/>
  <c r="M12" i="9"/>
  <c r="F12" i="9"/>
  <c r="M11" i="9"/>
  <c r="F11" i="9"/>
  <c r="M9" i="9"/>
  <c r="F9" i="9"/>
  <c r="M8" i="9"/>
  <c r="F8" i="9"/>
  <c r="M7" i="9"/>
  <c r="F7" i="9"/>
  <c r="M6" i="9"/>
  <c r="F6" i="9"/>
  <c r="M5" i="9"/>
  <c r="F5" i="9"/>
  <c r="M4" i="9"/>
  <c r="F4" i="9"/>
  <c r="H85" i="12"/>
  <c r="H79" i="12"/>
  <c r="H63" i="12"/>
  <c r="H58" i="12"/>
  <c r="H43" i="12"/>
  <c r="H38" i="12"/>
  <c r="H22" i="12"/>
  <c r="H24" i="12" s="1"/>
  <c r="E33" i="14" l="1"/>
  <c r="O24" i="9"/>
  <c r="O36" i="9"/>
  <c r="O8" i="9"/>
  <c r="O11" i="9"/>
  <c r="F25" i="4"/>
  <c r="G26" i="4"/>
  <c r="G25" i="4"/>
  <c r="D23" i="4"/>
  <c r="D26" i="4" s="1"/>
  <c r="J16" i="1"/>
  <c r="H45" i="12"/>
  <c r="H46" i="12" s="1"/>
  <c r="B32" i="16" s="1"/>
  <c r="O42" i="9"/>
  <c r="O41" i="9"/>
  <c r="O54" i="9"/>
  <c r="O15" i="9"/>
  <c r="O9" i="9"/>
  <c r="O16" i="9"/>
  <c r="E23" i="4"/>
  <c r="E25" i="4" s="1"/>
  <c r="A28" i="14"/>
  <c r="F28" i="14" s="1"/>
  <c r="F26" i="14"/>
  <c r="J11" i="14"/>
  <c r="O45" i="9"/>
  <c r="O48" i="9"/>
  <c r="O46" i="9"/>
  <c r="O32" i="9"/>
  <c r="O28" i="9"/>
  <c r="O22" i="9"/>
  <c r="O13" i="9"/>
  <c r="O12" i="9"/>
  <c r="O5" i="9"/>
  <c r="O34" i="9"/>
  <c r="O30" i="9"/>
  <c r="O27" i="9"/>
  <c r="O25" i="9"/>
  <c r="O39" i="9"/>
  <c r="O7" i="9"/>
  <c r="O33" i="9"/>
  <c r="F49" i="7"/>
  <c r="C33" i="16" s="1"/>
  <c r="K13" i="1"/>
  <c r="E6" i="15"/>
  <c r="F50" i="7"/>
  <c r="C34" i="16" s="1"/>
  <c r="G72" i="7"/>
  <c r="F9" i="14"/>
  <c r="K13" i="14"/>
  <c r="J26" i="14"/>
  <c r="K18" i="1"/>
  <c r="E16" i="15"/>
  <c r="O14" i="9"/>
  <c r="F17" i="14"/>
  <c r="K14" i="1"/>
  <c r="E11" i="15"/>
  <c r="O20" i="9"/>
  <c r="O52" i="9"/>
  <c r="D63" i="7"/>
  <c r="H65" i="12"/>
  <c r="B33" i="16" s="1"/>
  <c r="O4" i="9"/>
  <c r="O18" i="9"/>
  <c r="O19" i="9"/>
  <c r="E51" i="7"/>
  <c r="F19" i="14"/>
  <c r="K32" i="1"/>
  <c r="E21" i="15"/>
  <c r="M21" i="6"/>
  <c r="M23" i="6" s="1"/>
  <c r="F23" i="15"/>
  <c r="D28" i="15" s="1"/>
  <c r="H7" i="8"/>
  <c r="H18" i="8"/>
  <c r="H19" i="8"/>
  <c r="G50" i="6"/>
  <c r="D33" i="6"/>
  <c r="G11" i="15" s="1"/>
  <c r="D34" i="6"/>
  <c r="G16" i="15" s="1"/>
  <c r="D40" i="6"/>
  <c r="D42" i="6"/>
  <c r="F36" i="6"/>
  <c r="G49" i="6"/>
  <c r="G51" i="6"/>
  <c r="D41" i="6"/>
  <c r="D43" i="6"/>
  <c r="C23" i="15"/>
  <c r="D23" i="15"/>
  <c r="H23" i="15"/>
  <c r="H31" i="1"/>
  <c r="E34" i="14"/>
  <c r="F47" i="7"/>
  <c r="C31" i="16" s="1"/>
  <c r="F5" i="14"/>
  <c r="F7" i="14"/>
  <c r="F13" i="14"/>
  <c r="J24" i="14"/>
  <c r="H36" i="4"/>
  <c r="G36" i="6"/>
  <c r="G20" i="8"/>
  <c r="H87" i="12"/>
  <c r="M49" i="9"/>
  <c r="O40" i="9"/>
  <c r="O47" i="9"/>
  <c r="H40" i="7"/>
  <c r="F48" i="7"/>
  <c r="C32" i="16" s="1"/>
  <c r="G21" i="14"/>
  <c r="K7" i="14"/>
  <c r="H13" i="14"/>
  <c r="F24" i="14"/>
  <c r="F26" i="4"/>
  <c r="F44" i="6"/>
  <c r="F48" i="6"/>
  <c r="H16" i="8"/>
  <c r="E14" i="2"/>
  <c r="O6" i="9"/>
  <c r="O17" i="9"/>
  <c r="O23" i="9"/>
  <c r="O26" i="9"/>
  <c r="O31" i="9"/>
  <c r="O38" i="9"/>
  <c r="O43" i="9"/>
  <c r="O44" i="9"/>
  <c r="D51" i="7"/>
  <c r="E63" i="7"/>
  <c r="J5" i="14"/>
  <c r="J7" i="14"/>
  <c r="H9" i="14"/>
  <c r="K11" i="14"/>
  <c r="K17" i="14"/>
  <c r="K19" i="14"/>
  <c r="D36" i="14"/>
  <c r="H24" i="14"/>
  <c r="H34" i="1"/>
  <c r="F49" i="6"/>
  <c r="D35" i="6"/>
  <c r="G21" i="15" s="1"/>
  <c r="G44" i="6"/>
  <c r="H17" i="8"/>
  <c r="H8" i="5"/>
  <c r="F10" i="3"/>
  <c r="B35" i="3" s="1"/>
  <c r="D32" i="6"/>
  <c r="G6" i="15" s="1"/>
  <c r="G48" i="6"/>
  <c r="F51" i="6"/>
  <c r="F50" i="6"/>
  <c r="H22" i="4"/>
  <c r="I16" i="4" s="1"/>
  <c r="H7" i="14"/>
  <c r="K9" i="14"/>
  <c r="F11" i="14"/>
  <c r="K15" i="14"/>
  <c r="E21" i="14"/>
  <c r="I21" i="14"/>
  <c r="A21" i="14"/>
  <c r="A14" i="14" s="1"/>
  <c r="K24" i="14"/>
  <c r="G28" i="14"/>
  <c r="C36" i="14"/>
  <c r="K5" i="14"/>
  <c r="J17" i="14"/>
  <c r="J19" i="14"/>
  <c r="K26" i="14"/>
  <c r="H5" i="14"/>
  <c r="F49" i="9"/>
  <c r="E36" i="14" l="1"/>
  <c r="O57" i="9"/>
  <c r="P55" i="9" s="1"/>
  <c r="D25" i="4"/>
  <c r="D45" i="4"/>
  <c r="E45" i="4"/>
  <c r="H45" i="4" s="1"/>
  <c r="J34" i="1"/>
  <c r="J31" i="1"/>
  <c r="K16" i="1"/>
  <c r="K31" i="1"/>
  <c r="K34" i="1"/>
  <c r="E23" i="15"/>
  <c r="D27" i="15" s="1"/>
  <c r="A27" i="14"/>
  <c r="J28" i="14"/>
  <c r="G23" i="15"/>
  <c r="D29" i="15" s="1"/>
  <c r="B34" i="16"/>
  <c r="H25" i="4"/>
  <c r="E26" i="4"/>
  <c r="H23" i="4"/>
  <c r="H26" i="4" s="1"/>
  <c r="H28" i="14"/>
  <c r="A25" i="14"/>
  <c r="O49" i="9"/>
  <c r="F51" i="7"/>
  <c r="D50" i="6"/>
  <c r="D33" i="16" s="1"/>
  <c r="D44" i="6"/>
  <c r="D49" i="6"/>
  <c r="D32" i="16" s="1"/>
  <c r="D36" i="6"/>
  <c r="D51" i="6"/>
  <c r="D34" i="16" s="1"/>
  <c r="G52" i="6"/>
  <c r="A6" i="14"/>
  <c r="H20" i="8"/>
  <c r="A16" i="14"/>
  <c r="J21" i="14"/>
  <c r="A8" i="14"/>
  <c r="F21" i="14"/>
  <c r="F52" i="6"/>
  <c r="D48" i="6"/>
  <c r="D31" i="16" s="1"/>
  <c r="F14" i="3"/>
  <c r="I18" i="4"/>
  <c r="I20" i="4"/>
  <c r="I13" i="4"/>
  <c r="I8" i="4"/>
  <c r="I19" i="4"/>
  <c r="I12" i="4"/>
  <c r="I6" i="4"/>
  <c r="I17" i="4"/>
  <c r="I15" i="4"/>
  <c r="I10" i="4"/>
  <c r="I4" i="4"/>
  <c r="I9" i="4"/>
  <c r="I11" i="4"/>
  <c r="I5" i="4"/>
  <c r="I7" i="4"/>
  <c r="A12" i="14"/>
  <c r="A20" i="14"/>
  <c r="A18" i="14"/>
  <c r="A10" i="14"/>
  <c r="H21" i="14"/>
  <c r="P53" i="9" l="1"/>
  <c r="P56" i="9"/>
  <c r="P52" i="9"/>
  <c r="P54" i="9"/>
  <c r="D30" i="15"/>
  <c r="D52" i="6"/>
  <c r="G41" i="17"/>
  <c r="P57" i="9" l="1"/>
  <c r="E24" i="17"/>
  <c r="B31" i="17" s="1"/>
  <c r="D31" i="17" s="1"/>
  <c r="E49" i="17" s="1"/>
  <c r="B24" i="17" l="1"/>
  <c r="B28" i="17" s="1"/>
  <c r="D28" i="17" s="1"/>
  <c r="C24" i="17"/>
  <c r="B29" i="17" s="1"/>
  <c r="D29" i="17" s="1"/>
  <c r="D24" i="17"/>
  <c r="B30" i="17" s="1"/>
  <c r="D30" i="17" s="1"/>
  <c r="D49" i="17" s="1"/>
  <c r="B27" i="17" l="1"/>
  <c r="D27" i="17" l="1"/>
  <c r="G49" i="17" l="1"/>
  <c r="G46" i="17"/>
  <c r="F23" i="17" l="1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24" i="17" l="1"/>
  <c r="G10" i="3" l="1"/>
  <c r="G31" i="16" l="1"/>
  <c r="G32" i="16"/>
  <c r="G33" i="16"/>
  <c r="G34" i="16"/>
  <c r="F32" i="16"/>
  <c r="F33" i="16"/>
  <c r="F31" i="16"/>
  <c r="B8" i="16" l="1"/>
  <c r="B9" i="16"/>
  <c r="B10" i="16"/>
  <c r="C8" i="16"/>
  <c r="D8" i="16"/>
  <c r="E8" i="16"/>
  <c r="F8" i="16"/>
  <c r="C9" i="16"/>
  <c r="D9" i="16"/>
  <c r="E9" i="16"/>
  <c r="F9" i="16"/>
  <c r="C10" i="16"/>
  <c r="D10" i="16"/>
  <c r="E10" i="16"/>
  <c r="F10" i="16"/>
  <c r="B11" i="16"/>
  <c r="C11" i="16"/>
  <c r="D11" i="16"/>
  <c r="E11" i="16"/>
  <c r="F11" i="16"/>
  <c r="B19" i="16" l="1"/>
  <c r="B20" i="16"/>
  <c r="B17" i="16"/>
  <c r="B18" i="16"/>
  <c r="B16" i="16"/>
  <c r="G7" i="16"/>
  <c r="B7" i="16"/>
  <c r="C7" i="16"/>
  <c r="D7" i="16"/>
  <c r="E7" i="16"/>
  <c r="F7" i="16"/>
  <c r="A8" i="16"/>
  <c r="A16" i="16" s="1"/>
  <c r="A9" i="16"/>
  <c r="A17" i="16" s="1"/>
  <c r="A10" i="16"/>
  <c r="A18" i="16" s="1"/>
  <c r="A11" i="16"/>
  <c r="A19" i="16" s="1"/>
  <c r="A33" i="16" l="1"/>
  <c r="A26" i="16"/>
  <c r="A32" i="16"/>
  <c r="A25" i="16"/>
  <c r="A31" i="16"/>
  <c r="A24" i="16"/>
  <c r="A34" i="16"/>
  <c r="A27" i="16"/>
  <c r="C27" i="16" l="1"/>
  <c r="C24" i="16"/>
  <c r="C26" i="16"/>
  <c r="C25" i="16"/>
  <c r="B31" i="16" l="1"/>
  <c r="G11" i="16" l="1"/>
  <c r="G9" i="16"/>
  <c r="G10" i="16"/>
  <c r="G8" i="16"/>
  <c r="D12" i="16"/>
  <c r="E12" i="16"/>
  <c r="F12" i="16"/>
  <c r="C12" i="16"/>
  <c r="B12" i="16"/>
  <c r="G12" i="16" l="1"/>
  <c r="E27" i="16" l="1"/>
  <c r="E26" i="16"/>
  <c r="E25" i="16"/>
  <c r="E24" i="16" l="1"/>
  <c r="E32" i="16"/>
  <c r="E33" i="16"/>
  <c r="E34" i="16"/>
  <c r="D26" i="16"/>
  <c r="D25" i="16"/>
  <c r="D24" i="16" l="1"/>
  <c r="D2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36" authorId="0" shapeId="0" xr:uid="{74EBCF77-5D0A-4027-9176-C12D6D8D4119}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odpisy budov (551120) bez pronájmů, školky a K&amp;M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</author>
  </authors>
  <commentList>
    <comment ref="E10" authorId="0" shapeId="0" xr:uid="{D0A88FEB-900A-4670-B8EE-10C973FA40F0}">
      <text>
        <r>
          <rPr>
            <b/>
            <sz val="9"/>
            <color indexed="81"/>
            <rFont val="Tahoma"/>
            <family val="2"/>
            <charset val="238"/>
          </rPr>
          <t>Olga:</t>
        </r>
        <r>
          <rPr>
            <sz val="9"/>
            <color indexed="81"/>
            <rFont val="Tahoma"/>
            <family val="2"/>
            <charset val="238"/>
          </rPr>
          <t xml:space="preserve">
DFM HV -152 252,32
SFM HV +387 108,40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</author>
  </authors>
  <commentList>
    <comment ref="H68" authorId="0" shapeId="0" xr:uid="{CC05741B-4AA6-4EF4-9DEB-45D904AA9AA3}">
      <text>
        <r>
          <rPr>
            <b/>
            <sz val="9"/>
            <color indexed="81"/>
            <rFont val="Tahoma"/>
            <family val="2"/>
            <charset val="238"/>
          </rPr>
          <t>Olga:</t>
        </r>
        <r>
          <rPr>
            <sz val="9"/>
            <color indexed="81"/>
            <rFont val="Tahoma"/>
            <family val="2"/>
            <charset val="238"/>
          </rPr>
          <t xml:space="preserve">
7906 ve výši 7.882,50 Kč
DČ 7582/7630 ve výši 39.495,26 Kč
voucher ve výši 6.257,14 Kč
DČ 6549/7630 ve výši 33.135,82 Kč
DČ 4851/7630 ve výši 39.495,26 Kč
DČ 6650/7630 ve výši 110.500 Kč
DČ 7617/7630 ve výši 75.633,23 Kč
DČ 6805/7630 ve výši 12.679,96Kč
voucher ve výši 14.347,91 Kč
</t>
        </r>
      </text>
    </comment>
    <comment ref="H69" authorId="0" shapeId="0" xr:uid="{E5EFF8DE-0B7B-4E17-85B0-A06994614C28}">
      <text>
        <r>
          <rPr>
            <b/>
            <sz val="9"/>
            <color indexed="81"/>
            <rFont val="Tahoma"/>
            <family val="2"/>
            <charset val="238"/>
          </rPr>
          <t>Olga:</t>
        </r>
        <r>
          <rPr>
            <sz val="9"/>
            <color indexed="81"/>
            <rFont val="Tahoma"/>
            <family val="2"/>
            <charset val="238"/>
          </rPr>
          <t xml:space="preserve">
krytí v plné výši ze zakázky</t>
        </r>
      </text>
    </comment>
    <comment ref="H70" authorId="0" shapeId="0" xr:uid="{E6F1D897-A28B-4D7E-B25D-51F92302CEBC}">
      <text>
        <r>
          <rPr>
            <b/>
            <sz val="9"/>
            <color indexed="81"/>
            <rFont val="Tahoma"/>
            <family val="2"/>
            <charset val="238"/>
          </rPr>
          <t>Olga:</t>
        </r>
        <r>
          <rPr>
            <sz val="9"/>
            <color indexed="81"/>
            <rFont val="Tahoma"/>
            <family val="2"/>
            <charset val="238"/>
          </rPr>
          <t xml:space="preserve">
krytí v plné výši ze zakázky</t>
        </r>
      </text>
    </comment>
    <comment ref="H71" authorId="0" shapeId="0" xr:uid="{041BEB65-CF3B-4C5A-8A95-38754D2C201B}">
      <text>
        <r>
          <rPr>
            <b/>
            <sz val="9"/>
            <color indexed="81"/>
            <rFont val="Tahoma"/>
            <family val="2"/>
            <charset val="238"/>
          </rPr>
          <t>Olga:</t>
        </r>
        <r>
          <rPr>
            <sz val="9"/>
            <color indexed="81"/>
            <rFont val="Tahoma"/>
            <family val="2"/>
            <charset val="238"/>
          </rPr>
          <t xml:space="preserve">
DČ 7557/7640 ve výši 1.262,62 Kč
DČ 6758/7640 ve výši 107.680,24 Kč
voucher 19187 ve výši 9.618,70 Kč</t>
        </r>
      </text>
    </comment>
  </commentList>
</comments>
</file>

<file path=xl/sharedStrings.xml><?xml version="1.0" encoding="utf-8"?>
<sst xmlns="http://schemas.openxmlformats.org/spreadsheetml/2006/main" count="836" uniqueCount="583">
  <si>
    <t>celkem PROJEKTY</t>
  </si>
  <si>
    <t>Organizace SGS - do 2,5 % podpory</t>
  </si>
  <si>
    <t>Studentská věd. konference - do 10 % podpory</t>
  </si>
  <si>
    <t xml:space="preserve">CELKEM </t>
  </si>
  <si>
    <t>pracoviště</t>
  </si>
  <si>
    <t>interní číslo projektu</t>
  </si>
  <si>
    <t>Název projektu</t>
  </si>
  <si>
    <t>Řešitel</t>
  </si>
  <si>
    <t>Podpora CELKEM</t>
  </si>
  <si>
    <t>prostředky do výše 5 % z přiznané dotace do Fondu účelově určených prostředků.</t>
  </si>
  <si>
    <t>Rezervní Fond</t>
  </si>
  <si>
    <t>ITE</t>
  </si>
  <si>
    <t>MTI</t>
  </si>
  <si>
    <t>NTI</t>
  </si>
  <si>
    <t>CELKEM</t>
  </si>
  <si>
    <t xml:space="preserve">čerpání během roku </t>
  </si>
  <si>
    <t xml:space="preserve">K DISPOZICI </t>
  </si>
  <si>
    <t>INVESTICE</t>
  </si>
  <si>
    <t>DFM</t>
  </si>
  <si>
    <t>↓</t>
  </si>
  <si>
    <t>Účet</t>
  </si>
  <si>
    <t>Náklady</t>
  </si>
  <si>
    <t>Celkem</t>
  </si>
  <si>
    <t>%</t>
  </si>
  <si>
    <t>Mzdové náklady hl.č.</t>
  </si>
  <si>
    <t>Zákonné soc.pojištění - SP  hl.č.</t>
  </si>
  <si>
    <t>Jiné ost.náklady- doplňkové náklady (režie)</t>
  </si>
  <si>
    <t>Jiné ost.nákl.hl.č.-stip.VaV, inov.činnost</t>
  </si>
  <si>
    <t>Zákonné soc.pojištění - ZP  hl.č.</t>
  </si>
  <si>
    <t>Ostatní služby hl.č.</t>
  </si>
  <si>
    <t>Cestovné zam.do zahr.hl.č.</t>
  </si>
  <si>
    <t>Cestovné hl.č.</t>
  </si>
  <si>
    <t>Mzdové náklady OON hl.č.</t>
  </si>
  <si>
    <t>Spotřeba materiálu hl.č.</t>
  </si>
  <si>
    <t>Jiné ost.náklady-účast.popl.hl.č.</t>
  </si>
  <si>
    <t>Cestovné hl.č.- použití služ.vozidla</t>
  </si>
  <si>
    <t>Mzdové náklady hl.č.-náhrady</t>
  </si>
  <si>
    <t>Jiné osta.nákl.hl.č.-popl.bance ostatní/daň.uznat.</t>
  </si>
  <si>
    <t>Kursové ztráty hl.č.</t>
  </si>
  <si>
    <t>Procento čerpání</t>
  </si>
  <si>
    <t>rozdíl</t>
  </si>
  <si>
    <t>SGS studentská grantová soutěž (SV specifický výzkum)
činn. 115</t>
  </si>
  <si>
    <t>Neinvestiční prostředky pracovišť, činn. 106</t>
  </si>
  <si>
    <t>IP institucionální podpora
činn. 117</t>
  </si>
  <si>
    <t>ITE 7620</t>
  </si>
  <si>
    <t>MTI 7630</t>
  </si>
  <si>
    <t>NTI 7640</t>
  </si>
  <si>
    <t>DFM 7817</t>
  </si>
  <si>
    <t>CELKOVÝ PŘEHLED</t>
  </si>
  <si>
    <t>ZŮSTATEK</t>
  </si>
  <si>
    <t>prospěchová stipendia</t>
  </si>
  <si>
    <t>Stipendia na zahraniční pobyt - studenti</t>
  </si>
  <si>
    <t>Rekapitulace stipendií doktorandů</t>
  </si>
  <si>
    <t>příspěvek na stipendia</t>
  </si>
  <si>
    <t>výplata stipendií</t>
  </si>
  <si>
    <t>zůstatek</t>
  </si>
  <si>
    <t>Tvorba během roku</t>
  </si>
  <si>
    <t xml:space="preserve">Čerpání fondu </t>
  </si>
  <si>
    <t>Smluvní výzkum</t>
  </si>
  <si>
    <t>Středisko</t>
  </si>
  <si>
    <t>Popis zakázky</t>
  </si>
  <si>
    <r>
      <t>Výnosy činn.</t>
    </r>
    <r>
      <rPr>
        <b/>
        <sz val="11"/>
        <color indexed="60"/>
        <rFont val="Times New Roman"/>
        <family val="1"/>
        <charset val="238"/>
      </rPr>
      <t xml:space="preserve"> 205</t>
    </r>
  </si>
  <si>
    <t>Výnosy činn. 206</t>
  </si>
  <si>
    <t>Výnosy</t>
  </si>
  <si>
    <t>Rozdíl (Zůstatek)</t>
  </si>
  <si>
    <r>
      <t xml:space="preserve">Náklady činn. </t>
    </r>
    <r>
      <rPr>
        <b/>
        <sz val="11"/>
        <color indexed="60"/>
        <rFont val="Times New Roman"/>
        <family val="1"/>
        <charset val="238"/>
      </rPr>
      <t>205</t>
    </r>
  </si>
  <si>
    <t>Náklady činn. 206</t>
  </si>
  <si>
    <r>
      <t xml:space="preserve">Rozdíl činn. </t>
    </r>
    <r>
      <rPr>
        <b/>
        <sz val="11"/>
        <color indexed="60"/>
        <rFont val="Times New Roman"/>
        <family val="1"/>
        <charset val="238"/>
      </rPr>
      <t>205</t>
    </r>
  </si>
  <si>
    <t>Rozdíl činn. 206</t>
  </si>
  <si>
    <t>č. zakázky</t>
  </si>
  <si>
    <t xml:space="preserve"> Přehled vyúčtování doplňkové činnosti dle ústavů</t>
  </si>
  <si>
    <t xml:space="preserve">Počet zakázek </t>
  </si>
  <si>
    <t>Náklady celkem</t>
  </si>
  <si>
    <t>Výnosy celkem</t>
  </si>
  <si>
    <t>Poznámka:</t>
  </si>
  <si>
    <t>Dxxx</t>
  </si>
  <si>
    <t>Kxx</t>
  </si>
  <si>
    <t>Dar</t>
  </si>
  <si>
    <t>Konference</t>
  </si>
  <si>
    <t>Zůstatek</t>
  </si>
  <si>
    <t>Dotace CELKEM</t>
  </si>
  <si>
    <t>Číslo grantu</t>
  </si>
  <si>
    <t>Čerpání</t>
  </si>
  <si>
    <t>Poskytovatel</t>
  </si>
  <si>
    <t>Doba řešení</t>
  </si>
  <si>
    <t>celkový objem získané dotace</t>
  </si>
  <si>
    <t>čerpání</t>
  </si>
  <si>
    <t>Popis účtu</t>
  </si>
  <si>
    <t xml:space="preserve">SFM celkem </t>
  </si>
  <si>
    <t xml:space="preserve">DFM celkem </t>
  </si>
  <si>
    <t>SFM+DFM</t>
  </si>
  <si>
    <t>Ostatní služby-pošt.popl.hl.č.</t>
  </si>
  <si>
    <t>Jiné ost.náklady hl.č.- vzdělávání zaměstn.</t>
  </si>
  <si>
    <r>
      <rPr>
        <b/>
        <i/>
        <sz val="10.5"/>
        <rFont val="Times New Roman"/>
        <family val="1"/>
        <charset val="238"/>
      </rPr>
      <t xml:space="preserve">Pozn.: </t>
    </r>
    <r>
      <rPr>
        <sz val="10.5"/>
        <rFont val="Times New Roman"/>
        <family val="1"/>
        <charset val="238"/>
      </rPr>
      <t>Ve mzdových nákladech je zahrnuta část osobních příplatků a příplatky za vedení</t>
    </r>
  </si>
  <si>
    <t>(Dohody o provedení práce - za oponentní posudky, ubytování komisí, občerstvení,…).</t>
  </si>
  <si>
    <t xml:space="preserve">Jiné ostatní náklady hl. č. </t>
  </si>
  <si>
    <t>Ostatní služby - telefony</t>
  </si>
  <si>
    <t>Náklady na reprezentaci hl.č.-daň. neuznatelné</t>
  </si>
  <si>
    <t>Kurzové ztráty hl. č.</t>
  </si>
  <si>
    <t>Jiné ost.náklady hl.č.- roční vypořádání</t>
  </si>
  <si>
    <t>Studijní oddělení</t>
  </si>
  <si>
    <t>Děkanát FM</t>
  </si>
  <si>
    <t>Fakulta</t>
  </si>
  <si>
    <t>FA</t>
  </si>
  <si>
    <t>FE</t>
  </si>
  <si>
    <t>FM</t>
  </si>
  <si>
    <t>FP</t>
  </si>
  <si>
    <t>FS</t>
  </si>
  <si>
    <t>FT</t>
  </si>
  <si>
    <t>FZ</t>
  </si>
  <si>
    <t>Cxi</t>
  </si>
  <si>
    <t>A</t>
  </si>
  <si>
    <t>Spos</t>
  </si>
  <si>
    <t>Spři</t>
  </si>
  <si>
    <t>K</t>
  </si>
  <si>
    <t>SV</t>
  </si>
  <si>
    <t xml:space="preserve">     Návrh rozpočtu určuje podíl fakult a CxI na úhradě společných provozních nákladů TUL, který je určen schváleným způsobem výpočtu.</t>
  </si>
  <si>
    <t>CxI</t>
  </si>
  <si>
    <t>Režie</t>
  </si>
  <si>
    <t>Režie upravené o dislokace</t>
  </si>
  <si>
    <t xml:space="preserve">     Návrh rozpočtu určuje podíl na úhradě 20 % FRIMu stanovený podle poměru užívaných ploch.</t>
  </si>
  <si>
    <t>PUČ</t>
  </si>
  <si>
    <t>FRIM</t>
  </si>
  <si>
    <t>115 (SGS)</t>
  </si>
  <si>
    <t>20%FRIM</t>
  </si>
  <si>
    <t>ITE, 7620</t>
  </si>
  <si>
    <t>MTI, 7630</t>
  </si>
  <si>
    <t>NTI, 7640</t>
  </si>
  <si>
    <t>DFM, 7817</t>
  </si>
  <si>
    <t>Rozpočet  FMIMS TU v Liberci</t>
  </si>
  <si>
    <t>% vyjádření</t>
  </si>
  <si>
    <t>celkem</t>
  </si>
  <si>
    <t>pracoviště celkem</t>
  </si>
  <si>
    <t>grantů a dalších úprav rozpočtu, a také z vlastních příjmů, které tvoří poplatky za přijímací řízení, výnosy z kurzů a doplňkové</t>
  </si>
  <si>
    <t>Mzdy</t>
  </si>
  <si>
    <t>Z toho kmenoví zam. 7817 a 7117 [%]</t>
  </si>
  <si>
    <t>Z toho ostatní zam. FM [%]</t>
  </si>
  <si>
    <t>Z toho ostatní zam. TUL [%]</t>
  </si>
  <si>
    <t>příplatek za vedení [Kč]</t>
  </si>
  <si>
    <t>příplatek za vedení [%]</t>
  </si>
  <si>
    <t>osobní ohodnocení [Kč]</t>
  </si>
  <si>
    <t>osobní ohodnocení [%]</t>
  </si>
  <si>
    <t>odměny [Kč]</t>
  </si>
  <si>
    <t>odměny [%]</t>
  </si>
  <si>
    <t>nemoc [Kč]</t>
  </si>
  <si>
    <t>nemoc [%]</t>
  </si>
  <si>
    <t>Náhrady za dovolenou [Kč]</t>
  </si>
  <si>
    <t>Náhrady za dovolenou [%]</t>
  </si>
  <si>
    <t>Odvody</t>
  </si>
  <si>
    <t>sociální odvody [Kč]</t>
  </si>
  <si>
    <t>sociální odvody [%]</t>
  </si>
  <si>
    <t>zdravotní odvody [Kč]</t>
  </si>
  <si>
    <t>zdravotní odvody [%]</t>
  </si>
  <si>
    <t>tarif -základní mzda [Kč]</t>
  </si>
  <si>
    <t>tarif -základní mzda [%]</t>
  </si>
  <si>
    <t>DPP x DPČ [Kč]</t>
  </si>
  <si>
    <t>DPP x DPČ [%]</t>
  </si>
  <si>
    <r>
      <rPr>
        <sz val="12"/>
        <rFont val="Times New Roman"/>
        <family val="1"/>
        <charset val="238"/>
      </rPr>
      <t>Vyplaceno ze</t>
    </r>
    <r>
      <rPr>
        <b/>
        <sz val="12"/>
        <rFont val="Times New Roman"/>
        <family val="1"/>
        <charset val="238"/>
      </rPr>
      <t xml:space="preserve"> Studijního odd. 7117</t>
    </r>
  </si>
  <si>
    <r>
      <rPr>
        <sz val="12"/>
        <rFont val="Times New Roman"/>
        <family val="1"/>
        <charset val="238"/>
      </rPr>
      <t>Vyplaceno z</t>
    </r>
    <r>
      <rPr>
        <b/>
        <sz val="12"/>
        <rFont val="Times New Roman"/>
        <family val="1"/>
        <charset val="238"/>
      </rPr>
      <t xml:space="preserve">  děkanátu 7817</t>
    </r>
  </si>
  <si>
    <r>
      <rPr>
        <sz val="12"/>
        <rFont val="Times New Roman"/>
        <family val="1"/>
        <charset val="238"/>
      </rPr>
      <t>Z toho</t>
    </r>
    <r>
      <rPr>
        <b/>
        <sz val="12"/>
        <rFont val="Times New Roman"/>
        <family val="1"/>
        <charset val="238"/>
      </rPr>
      <t xml:space="preserve"> kmenoví zam. 7817 a 7117 [Kč]</t>
    </r>
  </si>
  <si>
    <r>
      <rPr>
        <sz val="12"/>
        <rFont val="Times New Roman"/>
        <family val="1"/>
        <charset val="238"/>
      </rPr>
      <t xml:space="preserve">Z toho </t>
    </r>
    <r>
      <rPr>
        <b/>
        <sz val="12"/>
        <rFont val="Times New Roman"/>
        <family val="1"/>
        <charset val="238"/>
      </rPr>
      <t>ostatní zam. FM [Kč]</t>
    </r>
  </si>
  <si>
    <r>
      <rPr>
        <sz val="12"/>
        <rFont val="Times New Roman"/>
        <family val="1"/>
        <charset val="238"/>
      </rPr>
      <t>Z toho</t>
    </r>
    <r>
      <rPr>
        <b/>
        <sz val="12"/>
        <rFont val="Times New Roman"/>
        <family val="1"/>
        <charset val="238"/>
      </rPr>
      <t xml:space="preserve"> ostatní zam. TUL [Kč]</t>
    </r>
  </si>
  <si>
    <t>Pozn.</t>
  </si>
  <si>
    <r>
      <rPr>
        <b/>
        <sz val="12"/>
        <color theme="1"/>
        <rFont val="Times New Roman"/>
        <family val="1"/>
        <charset val="238"/>
      </rPr>
      <t>521</t>
    </r>
    <r>
      <rPr>
        <sz val="12"/>
        <color theme="1"/>
        <rFont val="Times New Roman"/>
        <family val="1"/>
        <charset val="238"/>
      </rPr>
      <t xml:space="preserve"> -mzdové náklady hl. činnost</t>
    </r>
  </si>
  <si>
    <r>
      <rPr>
        <b/>
        <sz val="12"/>
        <color theme="1"/>
        <rFont val="Times New Roman"/>
        <family val="1"/>
        <charset val="238"/>
      </rPr>
      <t>524</t>
    </r>
    <r>
      <rPr>
        <sz val="12"/>
        <color theme="1"/>
        <rFont val="Times New Roman"/>
        <family val="1"/>
        <charset val="238"/>
      </rPr>
      <t xml:space="preserve"> - zákonné pojištění SP + ZP</t>
    </r>
  </si>
  <si>
    <t>děkana, proděkanů a dalších pracovníků FM včetně odměn.</t>
  </si>
  <si>
    <t>Struktura hospodaření střediska ITE 7620</t>
  </si>
  <si>
    <t>PŘÍJMY: položky, které navyšují schálený rozpočet</t>
  </si>
  <si>
    <t>VÝDAJE: položky, které snižují schválený rozpočet</t>
  </si>
  <si>
    <t>skutečné čerpání provozních nákladů pracoviště 7620</t>
  </si>
  <si>
    <t>Struktura hospodaření střediska MTI 7630</t>
  </si>
  <si>
    <t>skutečné čerpání provozních nákladů pracoviště 7630</t>
  </si>
  <si>
    <t>Struktura hospodaření střediska NTI 7640</t>
  </si>
  <si>
    <t>skutečné čerpání provozních nákladů pracoviště 7640</t>
  </si>
  <si>
    <t>skutečné čerpání provozních nákladů pracoviště 7817</t>
  </si>
  <si>
    <t>kurzové zisky z hlavní činnosti</t>
  </si>
  <si>
    <t>Jiné ostatní náklady - pojištění</t>
  </si>
  <si>
    <t>činnost</t>
  </si>
  <si>
    <t>čepání</t>
  </si>
  <si>
    <t>STIPENDIJNÍ FOND        činnost 103</t>
  </si>
  <si>
    <t>PŘÍSPĚVEK NA STIPENDIA PGS        činnost 106</t>
  </si>
  <si>
    <t>HV DČ</t>
  </si>
  <si>
    <t>*vysvětlivky:</t>
  </si>
  <si>
    <t xml:space="preserve">pracoviště </t>
  </si>
  <si>
    <t>přehled činností</t>
  </si>
  <si>
    <t>projekty</t>
  </si>
  <si>
    <t>DČ</t>
  </si>
  <si>
    <t>ostatní</t>
  </si>
  <si>
    <t>výše rozpočtu / dotace</t>
  </si>
  <si>
    <t>MŠMT - dotaze ze státního rozpočtu</t>
  </si>
  <si>
    <t>Doplňkové náklady - režie</t>
  </si>
  <si>
    <t xml:space="preserve">č. </t>
  </si>
  <si>
    <t>č.</t>
  </si>
  <si>
    <t>FAKULTA MECHATRONIKY, INFORMATIKY A MEZIOBOROVÝCH STUDIÍ</t>
  </si>
  <si>
    <t>Technická univerzita v Liberci</t>
  </si>
  <si>
    <t xml:space="preserve">Hospodářský výsledek z hlavní činnosti je tedy rozdílem celkových příjmů a výdajů daného pracoviště. </t>
  </si>
  <si>
    <t>Přehled hospodaření pro svou přehlednost využívá pouze celkové součty jednotlivých vstupů ovlivňující celkový výsledek. Přehled konkrétních výčtů položek je specifikován v následujících částech Zprávy o hospodaření (např. přehled doplňkové činnost, ostatní činnosti, projektů, atd.)</t>
  </si>
  <si>
    <t>dod. č.1</t>
  </si>
  <si>
    <t>Schválené rozdělení finančních prostředků FM</t>
  </si>
  <si>
    <t>Dodatky příspěvku 106</t>
  </si>
  <si>
    <t>Projekty</t>
  </si>
  <si>
    <t>Doplňková činnost</t>
  </si>
  <si>
    <t>Ostatní činnost</t>
  </si>
  <si>
    <t>Další příjmy</t>
  </si>
  <si>
    <t>děkan FM</t>
  </si>
  <si>
    <t>Hospodářský výsledek 106</t>
  </si>
  <si>
    <t>Spotřeba mater.-DDHM (3000,-)hl.č.</t>
  </si>
  <si>
    <t>Ostatní služby-NS-fyzické osoby-hl.č.</t>
  </si>
  <si>
    <t>Jiné ost.náklady- tvorba  SCF (soc.fondu)</t>
  </si>
  <si>
    <t>Ostatní sociální pojištění hl.č.-penzijní</t>
  </si>
  <si>
    <t>Jiné ost.nákl.hl.č.-stip.doktorandi,PGS</t>
  </si>
  <si>
    <t>Jiné ost.náklady- spoluúčast TUL na financ.</t>
  </si>
  <si>
    <t>Jiné ost.nákl.hl.č.-stip.tvůrčí výsledky</t>
  </si>
  <si>
    <t>Jiné ost.náklady-převod do FÚP (z dotace)</t>
  </si>
  <si>
    <t>Rozdíl</t>
  </si>
  <si>
    <t>převod / zúčtování</t>
  </si>
  <si>
    <t>čerpáno stavební</t>
  </si>
  <si>
    <t>životní/penzijní pojištění [Kč]</t>
  </si>
  <si>
    <t>životní/penzijní pojištění [%]</t>
  </si>
  <si>
    <t>FÚP + výnosy</t>
  </si>
  <si>
    <t>Výsledek hospodaření střediska za sledované období bez HV z předešlých let</t>
  </si>
  <si>
    <t>Celkový přehled</t>
  </si>
  <si>
    <t>Výsledek hospodaření střediska za sledované období vč. HV z předešlých let</t>
  </si>
  <si>
    <t>VEŘEJNÉ ZDROJE K PROJEKTŮM (činnost 117, 106)</t>
  </si>
  <si>
    <t>Projekty celkem</t>
  </si>
  <si>
    <t>Dotační programy a vouchery</t>
  </si>
  <si>
    <t>NEVEŘEJNÉ ZDROJE K PROJEKTŮM (činnost 105)</t>
  </si>
  <si>
    <t>Hospodářský výsledek zakázky - lze po ZDANĚNÍ přerozdělit do RF/FRIM/Rozpočtu</t>
  </si>
  <si>
    <t>Hospodářský výsledek zakázky - lze využít k pokrytí záporného výsledku z nehospodářské činnosti</t>
  </si>
  <si>
    <t>Rezervní fond - roční pohyb</t>
  </si>
  <si>
    <t>FRIM - roční pohyb</t>
  </si>
  <si>
    <t>ústav</t>
  </si>
  <si>
    <t>DFM  7817</t>
  </si>
  <si>
    <t>smluvní výzkum</t>
  </si>
  <si>
    <t>ostatní doplňková činnost</t>
  </si>
  <si>
    <t>Přehled hospodářského výsledku ze všech činností pracovišť</t>
  </si>
  <si>
    <t>KONEČNÝ HOSPODÁŘSKÝ VÝSLEDEK</t>
  </si>
  <si>
    <t>HV z minulých let</t>
  </si>
  <si>
    <t>Prostředky z neveřejných zdrojů</t>
  </si>
  <si>
    <t>TAČR</t>
  </si>
  <si>
    <t>GAČR</t>
  </si>
  <si>
    <t>MPO</t>
  </si>
  <si>
    <t>VOUCHER</t>
  </si>
  <si>
    <t>kategorie</t>
  </si>
  <si>
    <t>MŠMT</t>
  </si>
  <si>
    <t>Režie AS</t>
  </si>
  <si>
    <t>Dar Škoda Auto</t>
  </si>
  <si>
    <t>Pokrytí</t>
  </si>
  <si>
    <t>HV</t>
  </si>
  <si>
    <t>Jedná se o účelovou podporu na specifický vysokoškolský výzkum vycházející ze zákonač. 130/2002 Sb., o podpoře výzkumu,</t>
  </si>
  <si>
    <t>101 - hospod. č.</t>
  </si>
  <si>
    <t>105 kmenové</t>
  </si>
  <si>
    <t>105 pouze NZ</t>
  </si>
  <si>
    <t>146 - hospod. č.</t>
  </si>
  <si>
    <t>205 - hospod. č.</t>
  </si>
  <si>
    <t>206 - hospod. č.</t>
  </si>
  <si>
    <t>SGS ukončeno k 30.11.</t>
  </si>
  <si>
    <t>Institucionální podpora</t>
  </si>
  <si>
    <t>Dary</t>
  </si>
  <si>
    <t>spoluřešitelské granty</t>
  </si>
  <si>
    <t>projekty - vzdělávací činnost</t>
  </si>
  <si>
    <t>projekty - VaV</t>
  </si>
  <si>
    <t>Odpisy dlouhodob.hmotného maj. -strojní hl.č.</t>
  </si>
  <si>
    <t>Poskytnuté členské přísp.tuzemské-hlč.-daň uznat</t>
  </si>
  <si>
    <t>Přehled objemu dotace pod jednotlivými typy poskytovatelů</t>
  </si>
  <si>
    <t>počet projektů</t>
  </si>
  <si>
    <t>poskytovatel</t>
  </si>
  <si>
    <t>poznámka</t>
  </si>
  <si>
    <t>hospodářská činnost</t>
  </si>
  <si>
    <t xml:space="preserve"> </t>
  </si>
  <si>
    <t>čerpání celkem</t>
  </si>
  <si>
    <t>rozdělení dle čin. 106</t>
  </si>
  <si>
    <t>výpočet</t>
  </si>
  <si>
    <t>dle dohody jednotlivých vedoucí je celkové čerpání rozděleno dle % rozdělení příspěvku na činnost 106</t>
  </si>
  <si>
    <t>Návrh rozpočtu Technické univerzity v Liberci</t>
  </si>
  <si>
    <t>Úpravy</t>
  </si>
  <si>
    <t>Odpočet</t>
  </si>
  <si>
    <t>uživatel</t>
  </si>
  <si>
    <t>doc. RNDr. Miroslav Brzezina, CSc.</t>
  </si>
  <si>
    <t>rektor</t>
  </si>
  <si>
    <t>Příděl dotace v daném roce po provedených úpravách</t>
  </si>
  <si>
    <t>CELKEM (dotace 117 po zaúčtovaných úpravách + FÚUP)</t>
  </si>
  <si>
    <t>STRUKTURA ČERPÁNÍ</t>
  </si>
  <si>
    <t>experimentálního vývoje a inovací z veřejných prostředků a o změně některých souvisejících zákonů.</t>
  </si>
  <si>
    <t>206 - INNOGY GAS STORAGE - doc. Severýn</t>
  </si>
  <si>
    <t>205 - SÚRAO-PBHU2 - doc. Hokr</t>
  </si>
  <si>
    <t>205 - ÚJV a.s. - LTD (4.fáze) - doc. Hokr</t>
  </si>
  <si>
    <t>NV</t>
  </si>
  <si>
    <t xml:space="preserve">Stipendijní fond, 
činn. 103 </t>
  </si>
  <si>
    <r>
      <t xml:space="preserve">Vládní stipendia,
činn. 110 
</t>
    </r>
    <r>
      <rPr>
        <sz val="12"/>
        <color indexed="8"/>
        <rFont val="Times New Roman"/>
        <family val="1"/>
        <charset val="238"/>
      </rPr>
      <t>Dům zahraničních služeb</t>
    </r>
  </si>
  <si>
    <t>úpravy během roku</t>
  </si>
  <si>
    <t>spoluúčast projekty</t>
  </si>
  <si>
    <t>MŠMT-Inter.excell.</t>
  </si>
  <si>
    <t>LB KRAJ</t>
  </si>
  <si>
    <t xml:space="preserve">Prodané zboží - skripta, sborníky - hl. č. </t>
  </si>
  <si>
    <t>Ostatní služby - dań. Neuznatelné</t>
  </si>
  <si>
    <t>pracoviště + samoplátci + vouchery 19xxx</t>
  </si>
  <si>
    <t>Stipendijní fond</t>
  </si>
  <si>
    <t>NZ k projektům 11xxx</t>
  </si>
  <si>
    <t>Zůstatek *</t>
  </si>
  <si>
    <t>FM kve</t>
  </si>
  <si>
    <t>režijní náklady</t>
  </si>
  <si>
    <t>ostatní přeúčtování - rozpočtové úpravy během roku</t>
  </si>
  <si>
    <t xml:space="preserve">Struktura hospodaření střediska DFM 7817 </t>
  </si>
  <si>
    <t>205 - ÚJV 4 - prof. Maryška</t>
  </si>
  <si>
    <t>205 - PVP Bukov - doc. Hokr</t>
  </si>
  <si>
    <t>Hospodářský výsledek zakázky - lze využít k pokrytí záporného výsledku neveřejných zdrojů vytvořených k projektům</t>
  </si>
  <si>
    <t>FÚP</t>
  </si>
  <si>
    <t xml:space="preserve">GAČR Lead Agency - Weave </t>
  </si>
  <si>
    <t>Veřejné zdroje k projektu 14238</t>
  </si>
  <si>
    <t>Veřejné zdroje k projektu 17966</t>
  </si>
  <si>
    <t>Rozpočtové úpravy - ostatní</t>
  </si>
  <si>
    <t>rozpočtové úpravy jako finanční vypořádání pracovišť:</t>
  </si>
  <si>
    <t xml:space="preserve">mezi činnosti 106x117, mzdové vypořádaní za participaci </t>
  </si>
  <si>
    <t>Ostatní služby-přepravné osob autobus tuz.</t>
  </si>
  <si>
    <t>Prodané zboží hl.č.</t>
  </si>
  <si>
    <t>Ostatní sl.-nájem(bazén,pozemky,kopírka)</t>
  </si>
  <si>
    <t>Jiné ost.náklady-tech.zhodnocení hl.č.</t>
  </si>
  <si>
    <r>
      <t xml:space="preserve">z toho </t>
    </r>
    <r>
      <rPr>
        <sz val="12"/>
        <color theme="1"/>
        <rFont val="Times New Roman"/>
        <family val="1"/>
        <charset val="238"/>
      </rPr>
      <t>příspěvek na penzijní/životní připojištění</t>
    </r>
  </si>
  <si>
    <t>mezisoučet</t>
  </si>
  <si>
    <t>Jiné ost.nákl.hl.č.-stip.mimořádná</t>
  </si>
  <si>
    <t xml:space="preserve">206 - Propagace ČEZ </t>
  </si>
  <si>
    <t xml:space="preserve">206 - Smlouva o partnerství </t>
  </si>
  <si>
    <t>206 - odborné konzultace,měření,ověřování parametrů - Dr. Jandura</t>
  </si>
  <si>
    <t>206 - Spolehlivost a riziko - Dr. Kamenický</t>
  </si>
  <si>
    <t>206 - Měření a zkoušky EMC - Dr. Slavík</t>
  </si>
  <si>
    <t>206 - Laboratorní testy - Dr. J. Novák</t>
  </si>
  <si>
    <t>206 - VIAKONTROL - Dr. J. Novák</t>
  </si>
  <si>
    <t>205 - DOOSAN BOBCAT s.r.o. - Dr. J. Novák</t>
  </si>
  <si>
    <t>D362</t>
  </si>
  <si>
    <t>Office of Naval Research Global USD</t>
  </si>
  <si>
    <t>19xxx voucher činnost 101 -&gt; hospodářská činnost = HV podléhá zdanění</t>
  </si>
  <si>
    <t>Neveřejné zdroje k projektu 17984</t>
  </si>
  <si>
    <t>Veřejné zdroje k projektu 17984</t>
  </si>
  <si>
    <t>Veřejné zdroje k projektu 17956</t>
  </si>
  <si>
    <t>TAČR Posedla s.r.o.</t>
  </si>
  <si>
    <t>Spotřeba materiálu hl.č. - reklamní předměty</t>
  </si>
  <si>
    <t>Poskytnuté členské přísp.tuzemské-hlč.-daň neuznat</t>
  </si>
  <si>
    <r>
      <rPr>
        <b/>
        <sz val="12"/>
        <rFont val="Times New Roman"/>
        <family val="1"/>
        <charset val="238"/>
      </rPr>
      <t>14820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k 14238, Lamr</t>
    </r>
  </si>
  <si>
    <r>
      <rPr>
        <b/>
        <sz val="12"/>
        <rFont val="Times New Roman"/>
        <family val="1"/>
        <charset val="238"/>
      </rPr>
      <t>14849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k 17956, Henyš</t>
    </r>
  </si>
  <si>
    <t>Provedené úpravy - veřejné zdroje k projektům</t>
  </si>
  <si>
    <t>doc. Ing. Josef Černohorský, Ph.D.</t>
  </si>
  <si>
    <t xml:space="preserve">pracoviště 7xxx, 7621 - Licence, 7904 - výuka v Aj </t>
  </si>
  <si>
    <t>kmenová pracoviště 7xx0 + VZ k projektům</t>
  </si>
  <si>
    <t xml:space="preserve">Nepříme náklady k projektu </t>
  </si>
  <si>
    <t xml:space="preserve">Při stanovení rozpočtu pracoviště děkanátu a studijního oddělení se vycházelo z tarifních platů a příslušných osobních ohodnocení pracovníků děkanátu (děkan, proděkani, tajemnice FM, sekretářka, IT pracovník, manažerka pro vyhodnocování a správu dat VaV, projektových manažerů) a pracovnic studijního oddělení SFM. Z prostředků DFM a SFM se hradily mzdové náklady kmenových pracovníků děkanátů včetně částečných úvazků proděkanů (50% úvazku) a pracovnic studijního oddělení FM. Dále se jednalo o vyplacené mzdy na základě DPP nebo DPČ v rámci fakultních aktivit jako: vypracování oponentních posudků v rámci habilitačního řízení, účast v komisi při obhajobách disertačních prací apod.			</t>
  </si>
  <si>
    <t>V rámci mzdových prostředků vyplacených z DFM je hrazena mzda též podpoře IT na FM a pracovnici spravující výsledky VaV. Dále část mzdových prostředků je vymezena pro správu fakultního koordinátora programu ERASMUS+. Součástí mezd jsou příslušná osobní ohodnocení v návaznosti na kvalitu odvedené práce, včetně pololetních odměn. Pracovníkům DFM a SFM je též vyplácen příspěvek na životní/penzijní pojištění. Mimořádné akce pořádané FM typu Den otevřených dveří, noc vědců, veletrh Amper či Kyberrobot jsou též nákladem DFM včetně mimořádných odměn aktivně zapojeným pracovníkům. Výše tarifů a příslušných příplatků je stanovena v souladu s Vnitřním mzdovým předpisem TUL.</t>
  </si>
  <si>
    <t>podpora FoM</t>
  </si>
  <si>
    <t>Dodatek rozpočtu Technické univerzity v Liberci</t>
  </si>
  <si>
    <t>Dodatek</t>
  </si>
  <si>
    <t>doc. RNDr. Miroslav Brzezina, CSc., dr.h.c.</t>
  </si>
  <si>
    <t>Ing. Martina Froschová</t>
  </si>
  <si>
    <t>Příkazce operace</t>
  </si>
  <si>
    <t>Hlavní účetní</t>
  </si>
  <si>
    <t>* Zůstatek = záporný automaticky započítán oproti předešlému HV, kladný lze převést do RF x FPP x FRIM</t>
  </si>
  <si>
    <t>Výzkum jazykových modelů pro online postprocessing výstupu z ASR systémů</t>
  </si>
  <si>
    <t>Martin Poláček</t>
  </si>
  <si>
    <t>INOVATIVNÍ 3D TIŠTĚNÉ PATRONY S NANOVLÁKNY PRO ODSTRAŇOVÁNÍ MIKRONOVÝCH ČÁSTIC Z VODY</t>
  </si>
  <si>
    <t>Evren Boyraz</t>
  </si>
  <si>
    <t>Ing. Václav Vomáčko</t>
  </si>
  <si>
    <t>Ing. Martin Špetlík</t>
  </si>
  <si>
    <t>Dúc Trung Lé</t>
  </si>
  <si>
    <t>Ing.Lukáš Klein</t>
  </si>
  <si>
    <t>Vira Velianyk</t>
  </si>
  <si>
    <t>Vliv mikroorganismů na beton z nízkým pH v Hlubinném Úložišti</t>
  </si>
  <si>
    <t>Adaptivní pohon pro přenosnou pushbroom hyperspektrální kameru</t>
  </si>
  <si>
    <t>Imobilizace kovových nanočástic pomocí bakterií kmene Pseudomonadota z bývale těžební lokality Zlate Hory</t>
  </si>
  <si>
    <r>
      <t xml:space="preserve">Na FM bylo řešeno celkem </t>
    </r>
    <r>
      <rPr>
        <b/>
        <sz val="12"/>
        <color theme="1"/>
        <rFont val="Times New Roman"/>
        <family val="1"/>
        <charset val="238"/>
      </rPr>
      <t>20 projektů SGS</t>
    </r>
    <r>
      <rPr>
        <sz val="12"/>
        <color theme="1"/>
        <rFont val="Times New Roman"/>
        <family val="1"/>
        <charset val="238"/>
      </rPr>
      <t xml:space="preserve"> včetně organizace a konference SGS.</t>
    </r>
  </si>
  <si>
    <t>206 - ŠKOLENÍ - prof. Plíva</t>
  </si>
  <si>
    <t>Přehled ostatní  aktivity na ústavech - DARY, KONFERENCE</t>
  </si>
  <si>
    <t>Zisk / FÚP</t>
  </si>
  <si>
    <t>Přehled vyúčtování  dle ústavů</t>
  </si>
  <si>
    <t>Činnosti: 125, 146, 147</t>
  </si>
  <si>
    <t>Rozdělení čerpání v rámci projektu OP-JAK PhD INFRA na ústavy</t>
  </si>
  <si>
    <t>Stipendia byla vyplacena na základě návrhu školitele, vedoucího ústavu a řešitele projektu nebo byla schválena vedením FM.</t>
  </si>
  <si>
    <t>CELKOVÝ PŘEHLED FINANČNÍHO TOKU PRACOVIŠTĚM</t>
  </si>
  <si>
    <t>*zobrazena výnosová strana - příchozí finanční prostředky</t>
  </si>
  <si>
    <t>*zůstatek příspěvku na stipendia PGS je evidován v čase a bude použit na dorovnání doktorandského příjmu</t>
  </si>
  <si>
    <t>Zůstatek*</t>
  </si>
  <si>
    <t>*Zůstatek lze pouze u voucherů</t>
  </si>
  <si>
    <t>HORIZON</t>
  </si>
  <si>
    <t>MPO - asphericon s.r.o.</t>
  </si>
  <si>
    <t>TAČR (Rieter CZ s.r.o.)</t>
  </si>
  <si>
    <t>10/24-06/25</t>
  </si>
  <si>
    <t>TAČR Trend, Nano power, a.s.</t>
  </si>
  <si>
    <t>EUK zahraniční granty</t>
  </si>
  <si>
    <t>dodatky rozpočtu (MŠMT příspěvek na vzdělávací čin.)</t>
  </si>
  <si>
    <t>čerpání PGS</t>
  </si>
  <si>
    <t>Jiné ost.náklady-daňově neuznatelné</t>
  </si>
  <si>
    <t>Ostatní sociální pojištění hl.č.-doplňkové penzijní od 2024</t>
  </si>
  <si>
    <t>EUK/Horizon Europe/MSCA4Ukraine</t>
  </si>
  <si>
    <t>EUK/Horizon Europe/ECOsystem for green Electronics</t>
  </si>
  <si>
    <t>02/23-06/26</t>
  </si>
  <si>
    <t>EUK/Horizon Europe/DONUT_WP4</t>
  </si>
  <si>
    <t>07/19-12/25</t>
  </si>
  <si>
    <t>EUK/Säschsische Aufbaubank - Förderbank + MMR ČR</t>
  </si>
  <si>
    <t>01/24-12/26</t>
  </si>
  <si>
    <t>EUK/Horizon Europe/EURAD-2</t>
  </si>
  <si>
    <t>10/24-09/29</t>
  </si>
  <si>
    <t>SAB</t>
  </si>
  <si>
    <t>Neveřejné zdroje k projektu 17878</t>
  </si>
  <si>
    <t>Veřejné zdroje k projektu 14245</t>
  </si>
  <si>
    <t>Veřejné zdroje k projektu 14252</t>
  </si>
  <si>
    <t>Veřejné zdroje k projektu 13262</t>
  </si>
  <si>
    <r>
      <rPr>
        <b/>
        <sz val="12"/>
        <rFont val="Times New Roman"/>
        <family val="1"/>
        <charset val="238"/>
      </rPr>
      <t>14843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k 14245, Březina</t>
    </r>
  </si>
  <si>
    <t xml:space="preserve">Cílem struktury hospodaření jednotlivých pracovišť je zachytit veškerý tok finančních prostředků přes pracoviště. Výchozím zdrojem je příspěvek na vzdělávací činnost (dle ukazatele A+K), ke kterému je přičten výsledek hospodaření z předešlého roku. Další příjem pracoviště je tvořen především vlastními příjmy např. poplatky za přijímací řízení, či doplňkovou činností, dále úpravami rozpočtu a v neposlední řadě režií odvedenou ze získaných grantů a hospodářské činnosti. Tyto hlavní 4 zdroje příjmů jsou vždy poníženy o celoškolskou režii, o podíl na úhradě 20 % na FRIMu, stanoveného podle poměru užívaných ploch. A o celkové čerpání provozních prostředků pracovištěm (mzdové prostředky, provozní náklady, služby, cestovné, … atd.). </t>
  </si>
  <si>
    <t>Dle rozhodnutí rektora TUL a v souladu s § 18, odst. 6 f) zákona č. 111/1998 Sb. v platném znění  je od 1. 7. 2019 navržena tvorba sociálního fondu na vrub nákladů součástí TUL ve výši 1 % z ročního objemu nákladů zúčtovanýh na mzdy a náhrady mzdy vyplacené v pracovním poměru ze všech zdrojů.</t>
  </si>
  <si>
    <t>příspěvek na PGS</t>
  </si>
  <si>
    <r>
      <rPr>
        <b/>
        <sz val="12"/>
        <rFont val="Times New Roman"/>
        <family val="1"/>
        <charset val="238"/>
      </rPr>
      <t>14854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k 14252, Němcová Zedníčková</t>
    </r>
  </si>
  <si>
    <t>nebo na rozpočtem nepokryté potřeby.</t>
  </si>
  <si>
    <t xml:space="preserve">Rezervní fond je vytvářen ze zisku po zdanění. Rezervní fond je určen zejména na krytí ztrát v následujících 
účetních obdobích </t>
  </si>
  <si>
    <t>Fond reprodukce investičního majetku - STATUT TUL, Článek 5, Fondy TUL</t>
  </si>
  <si>
    <t>Příjmy fakulty se skládají z příspěvku MŠMT na vzdělávací činnost, z dotace na institucionální podporu a specifický výzkum, z režií</t>
  </si>
  <si>
    <t>činnosti - placené inzerce, včetně doplňkové činnosti z oblasti VaV/Smluvní výzkum.</t>
  </si>
  <si>
    <t>117 (DKRVO)</t>
  </si>
  <si>
    <t>schváleným projektům SGS.</t>
  </si>
  <si>
    <t xml:space="preserve">Dotace na institucionální podporu (DKRVO) byla rozdělena na jednotlivé ústavy, prostředky na specifický výzkum byly přiděleny </t>
  </si>
  <si>
    <t>Režie DFM byla navýšena o 25.000,- Kč (příspěvek na režie AS TUL).</t>
  </si>
  <si>
    <t>Náklady související se SZZ, DSP, habilitačním řízením a jmenování prof. apod. jsou hrazeny z DFM/SFM</t>
  </si>
  <si>
    <t>Dotace Liberecký kraj - Dětská univerzita</t>
  </si>
  <si>
    <r>
      <t xml:space="preserve">Dle Směrnice rektora č. 3/2012 Zásady studentské grantové soutěže lze dle bodu 6.3 </t>
    </r>
    <r>
      <rPr>
        <i/>
        <u/>
        <sz val="12"/>
        <color theme="1"/>
        <rFont val="Times New Roman"/>
        <family val="1"/>
        <charset val="238"/>
      </rPr>
      <t>u pokračujících projektů</t>
    </r>
    <r>
      <rPr>
        <i/>
        <sz val="12"/>
        <color theme="1"/>
        <rFont val="Times New Roman"/>
        <family val="1"/>
        <charset val="238"/>
      </rPr>
      <t xml:space="preserve"> převést nevyčerpané</t>
    </r>
  </si>
  <si>
    <t xml:space="preserve">Tvorba probíhá přes poplatky studentů za studium. Čerpání je formou výplaty prospěchových stipendií, </t>
  </si>
  <si>
    <t>výplaty mimořádných stipendií za vynikájící BP/DP.</t>
  </si>
  <si>
    <t xml:space="preserve">č. 111/1998 Sb., o vysokých školách a o změně a doplnění dalších zákonů (zákon o vysokých školách), </t>
  </si>
  <si>
    <t xml:space="preserve">na základě  novely zákona o vysokých školách - zákon č. 52/2025 Sb., kterým se mění zákon </t>
  </si>
  <si>
    <t>ve znění pozdějších předpisů, a další související zákony.</t>
  </si>
  <si>
    <t>VÝROČNÍ ZPRÁVA O HOSPODAŘENÍ ZA ROK 2025</t>
  </si>
  <si>
    <t>Hospodářský výsledek za sledované období 01-12/2025</t>
  </si>
  <si>
    <t>pro rok 2025</t>
  </si>
  <si>
    <t>ze dne 19.3.2025</t>
  </si>
  <si>
    <r>
      <t xml:space="preserve">     Návrh rozpočtu dělí mezi fakulty příspěvek na vzdělávací činnost ve výši </t>
    </r>
    <r>
      <rPr>
        <b/>
        <sz val="12"/>
        <rFont val="Times New Roman"/>
        <family val="1"/>
        <charset val="238"/>
      </rPr>
      <t>435.788,320 tis. Kč</t>
    </r>
    <r>
      <rPr>
        <sz val="12"/>
        <rFont val="Times New Roman"/>
        <family val="1"/>
        <charset val="238"/>
      </rPr>
      <t xml:space="preserve"> včetně vypořádání vzájemných mezifakultních služeb v souhrnné výši </t>
    </r>
    <r>
      <rPr>
        <b/>
        <sz val="12"/>
        <rFont val="Times New Roman"/>
        <family val="1"/>
        <charset val="238"/>
      </rPr>
      <t>33.452,226 tis. Kč</t>
    </r>
    <r>
      <rPr>
        <sz val="12"/>
        <rFont val="Times New Roman"/>
        <family val="1"/>
        <charset val="238"/>
      </rPr>
      <t>. Současně je navrženo dělení dalších příspěvků a dotací:</t>
    </r>
  </si>
  <si>
    <r>
      <t xml:space="preserve">příspěvek K ve výši </t>
    </r>
    <r>
      <rPr>
        <b/>
        <sz val="12"/>
        <rFont val="Times New Roman"/>
        <family val="1"/>
        <charset val="238"/>
      </rPr>
      <t xml:space="preserve">108.947,080 tis. Kč, </t>
    </r>
  </si>
  <si>
    <r>
      <t xml:space="preserve">dlouhodobá koncepce rozvoje výzkumné organizace (dříve institucionální podpora) ve výši </t>
    </r>
    <r>
      <rPr>
        <b/>
        <sz val="12"/>
        <rFont val="Times New Roman"/>
        <family val="1"/>
        <charset val="238"/>
      </rPr>
      <t xml:space="preserve">174.085,860 tis. Kč </t>
    </r>
    <r>
      <rPr>
        <sz val="12"/>
        <rFont val="Times New Roman"/>
        <family val="1"/>
        <charset val="238"/>
      </rPr>
      <t>byla rozdělena na součásti ve výši 173.885,860 tis. Kč a část podpory ve výši 200,000 tis. Kč byla alokována na projekt ENAGO a</t>
    </r>
  </si>
  <si>
    <r>
      <t xml:space="preserve">dotace na specifický výzkum ve výši </t>
    </r>
    <r>
      <rPr>
        <b/>
        <sz val="12"/>
        <rFont val="Times New Roman"/>
        <family val="1"/>
        <charset val="238"/>
      </rPr>
      <t>16.153,938 tis. Kč.</t>
    </r>
  </si>
  <si>
    <t>DKRVO</t>
  </si>
  <si>
    <t>Přepočet na provedené dislokace 2024 - rozdíl</t>
  </si>
  <si>
    <t>Sociální fond je tvořen základním přídělem na vrub nákladů TUL ve výši 1 % z ročního objemu nákladů TUL zúčtovaných na mzdy, náhrady mzdy a odměny za pracovní pohotovost.</t>
  </si>
  <si>
    <t>V Liberci 19.3.2025</t>
  </si>
  <si>
    <t>Schváleno Akademickým senátem TUL dne 8.4.2025</t>
  </si>
  <si>
    <r>
      <t xml:space="preserve">Dodatek rozpočtu dělí mezi fakulty příspěvek na vzdělávací činnost ve výši </t>
    </r>
    <r>
      <rPr>
        <b/>
        <sz val="12"/>
        <rFont val="Times New Roman"/>
        <family val="1"/>
        <charset val="238"/>
      </rPr>
      <t>2.967,287 tis. Kč</t>
    </r>
    <r>
      <rPr>
        <sz val="12"/>
        <rFont val="Times New Roman"/>
        <family val="1"/>
        <charset val="238"/>
      </rPr>
      <t>. Dodatek je rozdělen podle poměru původního příspěvku na vzdělávací činnost podle ukazatele A a K.</t>
    </r>
  </si>
  <si>
    <t xml:space="preserve">V Liberci </t>
  </si>
  <si>
    <t>Schváleno Akademickým senátem FMIMS den 29. 5. 2025</t>
  </si>
  <si>
    <t>Hospodářský výsledek 2025 (za jednotlivé činnosti)  FM</t>
  </si>
  <si>
    <t>HV 2025</t>
  </si>
  <si>
    <t>HV 2025 FINAL k rozdělení</t>
  </si>
  <si>
    <t>výchozí hodnota pro rok 2025</t>
  </si>
  <si>
    <t>výsledek hospodaření v daném roce 2025</t>
  </si>
  <si>
    <t>konečný výsledek a vstupní hodnota do roku 2026</t>
  </si>
  <si>
    <t>Struktura hospodaření činnosti 106 základních pracovišť v roce 2025</t>
  </si>
  <si>
    <t>schválený rozpočet FMIMS dne 29.5.2025</t>
  </si>
  <si>
    <t>KONEČNÝ HOSPODÁŘSKÝ VÝSLEDEK FM 2025 bez HV z minul. let</t>
  </si>
  <si>
    <r>
      <t xml:space="preserve"> Struktura čerpání neinvestičních prostředků SFM a DFM v roce 2025 - </t>
    </r>
    <r>
      <rPr>
        <b/>
        <sz val="16"/>
        <color indexed="48"/>
        <rFont val="Times New Roman"/>
        <family val="1"/>
        <charset val="238"/>
      </rPr>
      <t>činn. 105, 106, 107, 110 a 117</t>
    </r>
  </si>
  <si>
    <t xml:space="preserve"> Přehled projektů VaV a voucherů řešených na FM dle ústavů za rok 2025</t>
  </si>
  <si>
    <t xml:space="preserve"> Struktura čerpání neinvestičních prostředků Institucionální podpory (činnost 117) v roce 2025 - po účtech a střediscích</t>
  </si>
  <si>
    <t>Studentská grantová soutěž (SGS) 2025</t>
  </si>
  <si>
    <t>Přehled přidělených prostředků SGS 2025</t>
  </si>
  <si>
    <t>Dotace 2025</t>
  </si>
  <si>
    <t xml:space="preserve"> Přehled doplňkové činnosti dle jednotlivých zakázek za 2025</t>
  </si>
  <si>
    <t>NV 2025</t>
  </si>
  <si>
    <t>Přehled vyplacených stipendií v roce  2025</t>
  </si>
  <si>
    <t>Vývoj stipendijního fondu v daném roce - 2025</t>
  </si>
  <si>
    <t>Počáteční stav k 1. 1. 2025</t>
  </si>
  <si>
    <t>Platby ze stipendijního fondu v daném roce - 2025</t>
  </si>
  <si>
    <t>Přehled vývoje čerpání Rezervního fondu za 2025</t>
  </si>
  <si>
    <t>zůstatek z 2024</t>
  </si>
  <si>
    <t>Poznámky k čerpání během roku 2025</t>
  </si>
  <si>
    <t>Přehled vývoje čerpání FRIM za 2025</t>
  </si>
  <si>
    <t>tvorba z odpisů 2025</t>
  </si>
  <si>
    <t>Laboratorní systém FM-009 OP-JAK (122.424,74 Kč)</t>
  </si>
  <si>
    <t>Eye tracking FM-012 OP-JAK (3.928,09 Kč)</t>
  </si>
  <si>
    <t>GPU server FM-013 OP-JAK (7.375,65 Kč)</t>
  </si>
  <si>
    <t>GPU server FM-013 OP-JAK (43.494,21 Kč)</t>
  </si>
  <si>
    <t>3D Lidar (109.000 Kč)</t>
  </si>
  <si>
    <t>FS formule podpora (100.000 Kč)</t>
  </si>
  <si>
    <t>3D Lidar (23.000 Kč)</t>
  </si>
  <si>
    <t>D25018</t>
  </si>
  <si>
    <t>D25019</t>
  </si>
  <si>
    <t>Účelová podpora na SGS pro rok 2025 včetně převodu z FÚUP z roku 2024</t>
  </si>
  <si>
    <t>Podpora na 2025</t>
  </si>
  <si>
    <t>převod FÚUP z 2024</t>
  </si>
  <si>
    <t>způsobilé náklady 2025</t>
  </si>
  <si>
    <t>zůstatek 2025</t>
  </si>
  <si>
    <t>Studium elektrochemických jevů na rozhraní elektroda-elektrolyt a jejich vlivů v průtokoměrném systému</t>
  </si>
  <si>
    <t>Studium pokročilých redukčních procesů pro degradaci per- a poly- fluorovaných sloučenin</t>
  </si>
  <si>
    <t>LeGO: Flexibilní obvody na bázi oxidu grafenu vytvářené pomocí laseru</t>
  </si>
  <si>
    <t>Jan Braun</t>
  </si>
  <si>
    <t>Ing. Bc. Veronika Leová</t>
  </si>
  <si>
    <t>Ing. Radek Boháč</t>
  </si>
  <si>
    <t>Měření prahu viditelnosti flikru a vývoj flikrmetru pro proměnnou intenzitu světla</t>
  </si>
  <si>
    <t>Ing. Jan Hergesel</t>
  </si>
  <si>
    <t>Optimalizace pokročilých technologií pro odstraňování mikropolutantů z odtoků komunálních čistíren odpadních vod</t>
  </si>
  <si>
    <t>Ing. Bc. Tomáš Dufek</t>
  </si>
  <si>
    <t>Predikce porušení vláknových kompozitních materiálů 2</t>
  </si>
  <si>
    <t>Robustní bezdrátová komunikace pro IoT aplikace s využitím kombinace různých přenosových technologií</t>
  </si>
  <si>
    <t>Ing. Ondřej Šolc</t>
  </si>
  <si>
    <t>Aplikace metamodelů homogenizace pro FEM výpočty</t>
  </si>
  <si>
    <t>Charakterizace centrosymetrických tenkých vrstev za pomoci generace druhé harmonické</t>
  </si>
  <si>
    <t>Ing. Jakub Lukeš</t>
  </si>
  <si>
    <t>Detekce chyby požadované polohy koncového efektoru v robotických systémech skrze snímání perfektních bitových polí</t>
  </si>
  <si>
    <t>Ing. Tomáš Buchta</t>
  </si>
  <si>
    <t>Fotokatalytická ultrafiltrace a reaktivní eliminace CECs (PURE-CECs)</t>
  </si>
  <si>
    <t>Použití pseudo-nedifrakčních vrstvených svazků pro alignment</t>
  </si>
  <si>
    <t>Nanovlákenný systém pro terapii vulvovaginální kandidózy</t>
  </si>
  <si>
    <t>Ing. Mgr. Bc. Karolína Morávková</t>
  </si>
  <si>
    <t>Ing. Martin Dušek</t>
  </si>
  <si>
    <t>Hadi Taghavian</t>
  </si>
  <si>
    <t>V roce 2025 nebyl převod do FÚUP využit z důvodu informace o konci podpory z MŠMT tohoto typu.</t>
  </si>
  <si>
    <t>MATLAB (137.633,07 Kč) - rozpočítáno na ústavy</t>
  </si>
  <si>
    <t>kuchyňka chillout zóna (24.237,22 Kč)</t>
  </si>
  <si>
    <t>206 - ŠKODA AUTO, a.s. - doc. Ing. Josef Černohorský, Ph.D.</t>
  </si>
  <si>
    <t>205 - STEINEL TECHNIK s.r.o. - doc. Ing. Leoš Oldřich Kukačka, Ph.D.</t>
  </si>
  <si>
    <t>205 - ŠKODA AUTO, a.s. - doc. Psota</t>
  </si>
  <si>
    <t>ČR</t>
  </si>
  <si>
    <t>Nedokončená výroba - zakázka je přesunuta do následujícího roku 2026 přes účet 561 200 -&gt; nevstupuje do výpočtu</t>
  </si>
  <si>
    <t>např. využívání ploch v budově L, výměna fin. prostředků</t>
  </si>
  <si>
    <t>Příděl dotace v daném roce dle rozpočtu NavRoz25</t>
  </si>
  <si>
    <t>Jiné ost.nákl.hl.č.-stip.doktorandi PGS</t>
  </si>
  <si>
    <t>Opravy a udržování hl. č.</t>
  </si>
  <si>
    <t>Jiné ost.nákl.hl.č.-stip. mimořádná</t>
  </si>
  <si>
    <r>
      <rPr>
        <b/>
        <sz val="12"/>
        <rFont val="Times New Roman"/>
        <family val="1"/>
        <charset val="238"/>
      </rPr>
      <t>14821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Černohorský</t>
    </r>
  </si>
  <si>
    <r>
      <rPr>
        <b/>
        <sz val="12"/>
        <rFont val="Times New Roman"/>
        <family val="1"/>
        <charset val="238"/>
      </rPr>
      <t>14828</t>
    </r>
    <r>
      <rPr>
        <sz val="12"/>
        <rFont val="Times New Roman"/>
        <family val="1"/>
        <charset val="238"/>
      </rPr>
      <t>/</t>
    </r>
    <r>
      <rPr>
        <b/>
        <sz val="12"/>
        <rFont val="Times New Roman"/>
        <family val="1"/>
        <charset val="238"/>
      </rPr>
      <t>117</t>
    </r>
    <r>
      <rPr>
        <sz val="12"/>
        <rFont val="Times New Roman"/>
        <family val="1"/>
        <charset val="238"/>
      </rPr>
      <t xml:space="preserve"> Jandura</t>
    </r>
  </si>
  <si>
    <t>EUK/Horizon Europe/Euratom</t>
  </si>
  <si>
    <t>10/25-06/26</t>
  </si>
  <si>
    <t>Neveřejné zdroje k projektu 14252</t>
  </si>
  <si>
    <t>Neveřejné zdroje k projektu 14272</t>
  </si>
  <si>
    <t>Jiné ost.nákl.hl.č.-stip.zahraniční</t>
  </si>
  <si>
    <t>Spotřeba mater.-knihy,časopisy hl.č.</t>
  </si>
  <si>
    <t>Opravy a udržování hl.č. DM</t>
  </si>
  <si>
    <t>Ostatní služby-přeprava zásilek (DHL,PPL)</t>
  </si>
  <si>
    <t xml:space="preserve">DČ 6758/7640 </t>
  </si>
  <si>
    <t>DČ + voucher</t>
  </si>
  <si>
    <t>DČ+voucher+7905</t>
  </si>
  <si>
    <t>HV 2025 k rozdělení (RF/FRIM/Rozpočet)</t>
  </si>
  <si>
    <t>HV minulých let</t>
  </si>
  <si>
    <r>
      <t xml:space="preserve">Rozbor čerpání mzdových prostředkůh na SFM a DFM v roce 2025 - </t>
    </r>
    <r>
      <rPr>
        <b/>
        <sz val="16"/>
        <color indexed="48"/>
        <rFont val="Times New Roman"/>
        <family val="1"/>
        <charset val="238"/>
      </rPr>
      <t>činn. 105, 106, 107, 110, 117 a 206</t>
    </r>
  </si>
  <si>
    <t>FÚP - nespotřebované finanční prostředky převedeny do následujícího roku 2026</t>
  </si>
  <si>
    <r>
      <t xml:space="preserve">CELKOVÝ hospodářský výsledek FM za rok 2025 je kladný. Kladná hodnota ve výši </t>
    </r>
    <r>
      <rPr>
        <b/>
        <sz val="11"/>
        <color theme="1"/>
        <rFont val="Calibri"/>
        <family val="2"/>
        <charset val="238"/>
        <scheme val="minor"/>
      </rPr>
      <t>4 511 824 Kč</t>
    </r>
    <r>
      <rPr>
        <sz val="11"/>
        <rFont val="Calibri"/>
        <family val="2"/>
        <charset val="238"/>
        <scheme val="minor"/>
      </rPr>
      <t xml:space="preserve"> je výsledkem součtu zůstatků všech činností jednotivých pracovišť - viz přehled níže. O tuto hodnotu bude následně navýšen kladný HV vytvořený z minulých let. Celkový výsledek hospodaření je ovlivněn úhradou uložené sankce za projekt 17063 - Průmyslový výzkum a experimentální vývoj malého městského elektromobilu a nástrojů pro jeho výrobu ve výši 815 463 Kč ústavu MTI. </t>
    </r>
  </si>
  <si>
    <t>01/25-12/27</t>
  </si>
  <si>
    <t>MPO (Tritius Solutions a.s.) MPO TWIST</t>
  </si>
  <si>
    <t>09/25-08/27</t>
  </si>
  <si>
    <t>TAČR (Rieter CZ s.r.o.) TREND</t>
  </si>
  <si>
    <t>03/25-12/27</t>
  </si>
  <si>
    <t>TAČR Théta 2</t>
  </si>
  <si>
    <t>05/25-12/27</t>
  </si>
  <si>
    <t>07/22-06/25</t>
  </si>
  <si>
    <t xml:space="preserve"> ÚSC - Cíl 3, Inov.voucher, KÚLK</t>
  </si>
  <si>
    <t>05/25-11/25</t>
  </si>
  <si>
    <t>MPO (Vodní zdroje Ekomonitor spol. s r.o.) OP TAK</t>
  </si>
  <si>
    <t>07/25-06/28</t>
  </si>
  <si>
    <t>MPO OP TAK (TopolWater, s.r.o.)</t>
  </si>
  <si>
    <t>05/25-04/28</t>
  </si>
  <si>
    <t>TAČR (CCOE s.r.o.) TREND</t>
  </si>
  <si>
    <t>TAČR (ŠKODA DIGITAL s.r.o.) DOPRAVA 2030</t>
  </si>
  <si>
    <t>01/25-12/28</t>
  </si>
  <si>
    <t>TAČR (Embitron s.r.o.) DELTA</t>
  </si>
  <si>
    <t>02/22-01/25</t>
  </si>
  <si>
    <t>01/23-12/25</t>
  </si>
  <si>
    <t>07/23-06/25</t>
  </si>
  <si>
    <t>02/22-02/25</t>
  </si>
  <si>
    <t>09/23-11/26</t>
  </si>
  <si>
    <t>07/25-12/27</t>
  </si>
  <si>
    <t>TAČR SIGMA</t>
  </si>
  <si>
    <t>04/23-03/26</t>
  </si>
  <si>
    <t>MPO (LENAM, s.r.o.) TWIST</t>
  </si>
  <si>
    <t>06/24-12/26</t>
  </si>
  <si>
    <t>01/24-06/26</t>
  </si>
  <si>
    <t>09/23-02/26</t>
  </si>
  <si>
    <t>12/22-06/26</t>
  </si>
  <si>
    <t>04/23-12/26</t>
  </si>
  <si>
    <t>TAČR (VÚTS, a.s.) SIGMA</t>
  </si>
  <si>
    <t>11/24-10/26</t>
  </si>
  <si>
    <t>EUK (National Center for Scientific Research "DEMOKRITOS") - Deep Tech/Horizon Europe</t>
  </si>
  <si>
    <t>10/25-20/28</t>
  </si>
  <si>
    <t>09/24-07/25</t>
  </si>
  <si>
    <t>Inovační voucher LK - Hardwario a.s.</t>
  </si>
  <si>
    <t>Voucher (GOODPED, s.r.o.)</t>
  </si>
  <si>
    <t>11/24-01/25</t>
  </si>
  <si>
    <t>Voucher MPO OP TAK (SEFIMA, s.r.o.)</t>
  </si>
  <si>
    <t>06/25-11/25</t>
  </si>
  <si>
    <t>Časové rozlišení - výnosy jsou přesunuty do následujícího roku 2026 přes účet 602 222 -&gt; nevstupuje do výpočtu</t>
  </si>
  <si>
    <t>Zpracovala: Ing. Livorová O.,10. 03. 2026</t>
  </si>
  <si>
    <t>(z dat k 9.3.2026)</t>
  </si>
  <si>
    <t>Schváleno AS FM dne 20. 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</si>
</sst>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0.0%"/>
    <numFmt numFmtId="165" formatCode="#,##0_ ;[Red]\-#,##0\ "/>
    <numFmt numFmtId="166" formatCode="#,##0.000"/>
    <numFmt numFmtId="167" formatCode="0.0000%"/>
    <numFmt numFmtId="168" formatCode="#,##0.00_ ;[Red]\-#,##0.00\ "/>
    <numFmt numFmtId="169" formatCode="_-* #,##0.00\ _K_č_-;\-* #,##0.00\ _K_č_-;_-* &quot;-&quot;??\ _K_č_-;_-@_-"/>
    <numFmt numFmtId="170" formatCode="#,##0.000_ ;[Red]\-#,##0.000\ "/>
  </numFmts>
  <fonts count="10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b/>
      <sz val="12"/>
      <name val="Times New Roman CE"/>
      <charset val="238"/>
    </font>
    <font>
      <b/>
      <sz val="18"/>
      <name val="Calibri Light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theme="0" tint="-0.24997711111789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9" tint="-0.249977111117893"/>
      <name val="Times New Roman"/>
      <family val="1"/>
      <charset val="238"/>
    </font>
    <font>
      <sz val="10.5"/>
      <name val="Times New Roman"/>
      <family val="1"/>
      <charset val="238"/>
    </font>
    <font>
      <b/>
      <i/>
      <sz val="10.5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0"/>
      <color rgb="FF0000FF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b/>
      <sz val="16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.5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1"/>
      <color rgb="FF0000FF"/>
      <name val="Times New Roman"/>
      <family val="1"/>
      <charset val="238"/>
    </font>
    <font>
      <sz val="11"/>
      <color rgb="FFFF00FF"/>
      <name val="Times New Roman"/>
      <family val="1"/>
      <charset val="238"/>
    </font>
    <font>
      <b/>
      <sz val="10.3"/>
      <color theme="1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b/>
      <u val="double"/>
      <sz val="11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indexed="48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FF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rgb="FFFF00FF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sz val="8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b/>
      <sz val="14"/>
      <color rgb="FFFF00FF"/>
      <name val="Calibri"/>
      <family val="2"/>
      <charset val="238"/>
      <scheme val="minor"/>
    </font>
    <font>
      <b/>
      <sz val="16"/>
      <color rgb="FFFF00FF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b/>
      <sz val="12"/>
      <color rgb="FFFF00FF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rgb="FF9C0006"/>
      <name val="Calibri"/>
      <family val="2"/>
      <charset val="238"/>
      <scheme val="minor"/>
    </font>
    <font>
      <sz val="12"/>
      <color rgb="FFFF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i/>
      <sz val="12"/>
      <color rgb="FF0000FF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theme="0"/>
      <name val="Times New Roman"/>
      <family val="1"/>
      <charset val="238"/>
    </font>
    <font>
      <sz val="11"/>
      <color rgb="FFFF00FF"/>
      <name val="Calibri"/>
      <family val="2"/>
      <charset val="238"/>
      <scheme val="minor"/>
    </font>
    <font>
      <sz val="10"/>
      <color rgb="FFFF00FF"/>
      <name val="Times New Roman"/>
      <family val="1"/>
      <charset val="238"/>
    </font>
    <font>
      <sz val="16"/>
      <color rgb="FFFF00FF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9">
    <xf numFmtId="0" fontId="0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61" fillId="0" borderId="0"/>
    <xf numFmtId="0" fontId="3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3" fillId="0" borderId="0"/>
    <xf numFmtId="0" fontId="76" fillId="0" borderId="0"/>
    <xf numFmtId="0" fontId="87" fillId="0" borderId="0"/>
    <xf numFmtId="0" fontId="88" fillId="0" borderId="0"/>
    <xf numFmtId="169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0" fontId="23" fillId="0" borderId="0"/>
    <xf numFmtId="0" fontId="23" fillId="0" borderId="0"/>
    <xf numFmtId="0" fontId="88" fillId="31" borderId="63" applyNumberFormat="0" applyFont="0" applyAlignment="0" applyProtection="0"/>
    <xf numFmtId="9" fontId="8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9" fillId="30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44" fontId="88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75" fillId="0" borderId="0"/>
    <xf numFmtId="0" fontId="75" fillId="0" borderId="0"/>
    <xf numFmtId="9" fontId="75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61" fillId="0" borderId="0"/>
    <xf numFmtId="0" fontId="33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791">
    <xf numFmtId="0" fontId="0" fillId="0" borderId="0" xfId="0"/>
    <xf numFmtId="4" fontId="0" fillId="0" borderId="0" xfId="0" applyNumberFormat="1"/>
    <xf numFmtId="4" fontId="2" fillId="3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4" fontId="1" fillId="0" borderId="3" xfId="0" applyNumberFormat="1" applyFont="1" applyFill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vertical="center"/>
    </xf>
    <xf numFmtId="3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center"/>
    </xf>
    <xf numFmtId="4" fontId="1" fillId="0" borderId="7" xfId="0" applyNumberFormat="1" applyFont="1" applyFill="1" applyBorder="1"/>
    <xf numFmtId="0" fontId="3" fillId="0" borderId="9" xfId="0" applyFont="1" applyBorder="1"/>
    <xf numFmtId="4" fontId="1" fillId="0" borderId="1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/>
    <xf numFmtId="4" fontId="1" fillId="0" borderId="0" xfId="0" applyNumberFormat="1" applyFont="1" applyFill="1" applyAlignment="1">
      <alignment horizontal="right"/>
    </xf>
    <xf numFmtId="4" fontId="8" fillId="0" borderId="0" xfId="0" applyNumberFormat="1" applyFont="1" applyFill="1"/>
    <xf numFmtId="4" fontId="1" fillId="6" borderId="3" xfId="0" applyNumberFormat="1" applyFont="1" applyFill="1" applyBorder="1"/>
    <xf numFmtId="10" fontId="1" fillId="0" borderId="0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right"/>
    </xf>
    <xf numFmtId="4" fontId="3" fillId="0" borderId="0" xfId="0" applyNumberFormat="1" applyFont="1" applyFill="1"/>
    <xf numFmtId="1" fontId="2" fillId="0" borderId="0" xfId="0" applyNumberFormat="1" applyFont="1"/>
    <xf numFmtId="0" fontId="3" fillId="0" borderId="0" xfId="0" applyFont="1" applyFill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8" xfId="0" applyFont="1" applyFill="1" applyBorder="1"/>
    <xf numFmtId="4" fontId="1" fillId="0" borderId="15" xfId="0" applyNumberFormat="1" applyFont="1" applyFill="1" applyBorder="1"/>
    <xf numFmtId="4" fontId="9" fillId="6" borderId="1" xfId="0" applyNumberFormat="1" applyFont="1" applyFill="1" applyBorder="1"/>
    <xf numFmtId="4" fontId="1" fillId="0" borderId="0" xfId="0" applyNumberFormat="1" applyFont="1" applyFill="1" applyBorder="1"/>
    <xf numFmtId="4" fontId="3" fillId="0" borderId="5" xfId="0" applyNumberFormat="1" applyFont="1" applyFill="1" applyBorder="1"/>
    <xf numFmtId="4" fontId="3" fillId="0" borderId="0" xfId="0" applyNumberFormat="1" applyFont="1" applyFill="1" applyBorder="1"/>
    <xf numFmtId="0" fontId="10" fillId="0" borderId="0" xfId="0" applyFont="1"/>
    <xf numFmtId="0" fontId="11" fillId="0" borderId="0" xfId="0" applyFont="1"/>
    <xf numFmtId="0" fontId="1" fillId="0" borderId="0" xfId="0" applyFont="1" applyFill="1"/>
    <xf numFmtId="4" fontId="2" fillId="7" borderId="3" xfId="0" applyNumberFormat="1" applyFont="1" applyFill="1" applyBorder="1" applyAlignment="1">
      <alignment horizontal="center" wrapText="1"/>
    </xf>
    <xf numFmtId="4" fontId="2" fillId="8" borderId="3" xfId="0" applyNumberFormat="1" applyFont="1" applyFill="1" applyBorder="1" applyAlignment="1">
      <alignment horizontal="center" wrapText="1"/>
    </xf>
    <xf numFmtId="0" fontId="9" fillId="0" borderId="0" xfId="0" applyFont="1" applyFill="1"/>
    <xf numFmtId="0" fontId="12" fillId="0" borderId="0" xfId="0" applyFont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9" fillId="0" borderId="3" xfId="0" applyNumberFormat="1" applyFont="1" applyBorder="1"/>
    <xf numFmtId="3" fontId="13" fillId="9" borderId="1" xfId="0" applyNumberFormat="1" applyFont="1" applyFill="1" applyBorder="1" applyAlignment="1">
      <alignment horizontal="right"/>
    </xf>
    <xf numFmtId="3" fontId="13" fillId="9" borderId="3" xfId="0" applyNumberFormat="1" applyFont="1" applyFill="1" applyBorder="1" applyAlignment="1">
      <alignment horizontal="right"/>
    </xf>
    <xf numFmtId="3" fontId="13" fillId="9" borderId="15" xfId="0" applyNumberFormat="1" applyFont="1" applyFill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3" xfId="0" applyFont="1" applyBorder="1" applyAlignment="1">
      <alignment horizontal="center" wrapText="1"/>
    </xf>
    <xf numFmtId="4" fontId="14" fillId="0" borderId="0" xfId="0" applyNumberFormat="1" applyFont="1" applyBorder="1"/>
    <xf numFmtId="4" fontId="14" fillId="0" borderId="9" xfId="0" applyNumberFormat="1" applyFont="1" applyBorder="1"/>
    <xf numFmtId="4" fontId="14" fillId="0" borderId="0" xfId="0" applyNumberFormat="1" applyFont="1" applyFill="1" applyBorder="1"/>
    <xf numFmtId="4" fontId="15" fillId="0" borderId="1" xfId="0" applyNumberFormat="1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8" fillId="0" borderId="3" xfId="0" applyFont="1" applyBorder="1" applyAlignment="1">
      <alignment horizontal="center" wrapText="1"/>
    </xf>
    <xf numFmtId="4" fontId="15" fillId="0" borderId="3" xfId="0" applyNumberFormat="1" applyFont="1" applyBorder="1"/>
    <xf numFmtId="0" fontId="1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right"/>
    </xf>
    <xf numFmtId="4" fontId="19" fillId="0" borderId="0" xfId="0" applyNumberFormat="1" applyFont="1" applyBorder="1"/>
    <xf numFmtId="3" fontId="15" fillId="0" borderId="3" xfId="0" applyNumberFormat="1" applyFont="1" applyBorder="1"/>
    <xf numFmtId="0" fontId="20" fillId="0" borderId="3" xfId="0" applyFont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4" fontId="15" fillId="13" borderId="1" xfId="0" applyNumberFormat="1" applyFont="1" applyFill="1" applyBorder="1"/>
    <xf numFmtId="0" fontId="16" fillId="14" borderId="3" xfId="0" applyFont="1" applyFill="1" applyBorder="1" applyAlignment="1">
      <alignment horizontal="center" wrapText="1"/>
    </xf>
    <xf numFmtId="0" fontId="16" fillId="15" borderId="3" xfId="0" applyFont="1" applyFill="1" applyBorder="1" applyAlignment="1">
      <alignment horizontal="center" wrapText="1"/>
    </xf>
    <xf numFmtId="4" fontId="15" fillId="14" borderId="1" xfId="0" applyNumberFormat="1" applyFont="1" applyFill="1" applyBorder="1"/>
    <xf numFmtId="0" fontId="3" fillId="12" borderId="0" xfId="0" applyFont="1" applyFill="1" applyBorder="1" applyAlignment="1">
      <alignment horizontal="center"/>
    </xf>
    <xf numFmtId="4" fontId="15" fillId="0" borderId="0" xfId="0" applyNumberFormat="1" applyFont="1" applyBorder="1"/>
    <xf numFmtId="0" fontId="16" fillId="0" borderId="0" xfId="0" applyFont="1" applyBorder="1" applyAlignment="1">
      <alignment horizontal="center" wrapText="1"/>
    </xf>
    <xf numFmtId="0" fontId="3" fillId="11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4" fontId="14" fillId="0" borderId="8" xfId="0" applyNumberFormat="1" applyFont="1" applyBorder="1"/>
    <xf numFmtId="4" fontId="14" fillId="0" borderId="8" xfId="0" applyNumberFormat="1" applyFont="1" applyFill="1" applyBorder="1"/>
    <xf numFmtId="4" fontId="14" fillId="0" borderId="4" xfId="0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4" fontId="15" fillId="0" borderId="0" xfId="0" applyNumberFormat="1" applyFont="1" applyFill="1" applyBorder="1"/>
    <xf numFmtId="3" fontId="14" fillId="0" borderId="0" xfId="0" applyNumberFormat="1" applyFont="1" applyFill="1" applyBorder="1"/>
    <xf numFmtId="0" fontId="0" fillId="0" borderId="0" xfId="0" applyFill="1" applyBorder="1"/>
    <xf numFmtId="0" fontId="18" fillId="0" borderId="0" xfId="0" applyFont="1" applyFill="1" applyBorder="1" applyAlignment="1">
      <alignment horizontal="center" wrapText="1"/>
    </xf>
    <xf numFmtId="3" fontId="15" fillId="0" borderId="1" xfId="0" applyNumberFormat="1" applyFont="1" applyFill="1" applyBorder="1"/>
    <xf numFmtId="4" fontId="14" fillId="15" borderId="6" xfId="0" applyNumberFormat="1" applyFont="1" applyFill="1" applyBorder="1"/>
    <xf numFmtId="4" fontId="14" fillId="14" borderId="4" xfId="0" applyNumberFormat="1" applyFont="1" applyFill="1" applyBorder="1"/>
    <xf numFmtId="4" fontId="14" fillId="0" borderId="0" xfId="0" applyNumberFormat="1" applyFont="1"/>
    <xf numFmtId="0" fontId="14" fillId="0" borderId="0" xfId="0" applyFont="1"/>
    <xf numFmtId="0" fontId="15" fillId="0" borderId="3" xfId="0" applyFont="1" applyBorder="1"/>
    <xf numFmtId="3" fontId="15" fillId="0" borderId="7" xfId="0" applyNumberFormat="1" applyFont="1" applyBorder="1"/>
    <xf numFmtId="0" fontId="16" fillId="0" borderId="3" xfId="0" applyFont="1" applyFill="1" applyBorder="1" applyAlignment="1">
      <alignment horizontal="center" wrapText="1"/>
    </xf>
    <xf numFmtId="4" fontId="14" fillId="0" borderId="10" xfId="0" applyNumberFormat="1" applyFont="1" applyBorder="1"/>
    <xf numFmtId="0" fontId="15" fillId="0" borderId="0" xfId="0" applyFont="1"/>
    <xf numFmtId="4" fontId="15" fillId="0" borderId="0" xfId="0" applyNumberFormat="1" applyFont="1"/>
    <xf numFmtId="1" fontId="14" fillId="0" borderId="0" xfId="0" applyNumberFormat="1" applyFont="1" applyBorder="1"/>
    <xf numFmtId="1" fontId="21" fillId="0" borderId="0" xfId="0" applyNumberFormat="1" applyFont="1" applyBorder="1"/>
    <xf numFmtId="4" fontId="14" fillId="0" borderId="0" xfId="0" applyNumberFormat="1" applyFont="1" applyAlignment="1"/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NumberFormat="1" applyFont="1" applyBorder="1" applyAlignment="1">
      <alignment horizontal="left"/>
    </xf>
    <xf numFmtId="0" fontId="24" fillId="0" borderId="0" xfId="0" applyFont="1"/>
    <xf numFmtId="0" fontId="3" fillId="0" borderId="0" xfId="0" applyFont="1" applyAlignment="1">
      <alignment horizontal="center"/>
    </xf>
    <xf numFmtId="4" fontId="1" fillId="0" borderId="9" xfId="0" applyNumberFormat="1" applyFont="1" applyFill="1" applyBorder="1"/>
    <xf numFmtId="4" fontId="1" fillId="16" borderId="2" xfId="0" applyNumberFormat="1" applyFont="1" applyFill="1" applyBorder="1"/>
    <xf numFmtId="10" fontId="3" fillId="0" borderId="0" xfId="1" applyNumberFormat="1" applyFont="1" applyAlignment="1">
      <alignment horizontal="center"/>
    </xf>
    <xf numFmtId="49" fontId="3" fillId="0" borderId="10" xfId="0" applyNumberFormat="1" applyFont="1" applyBorder="1"/>
    <xf numFmtId="0" fontId="3" fillId="0" borderId="10" xfId="0" applyFont="1" applyBorder="1" applyAlignment="1">
      <alignment vertical="center"/>
    </xf>
    <xf numFmtId="49" fontId="3" fillId="0" borderId="0" xfId="0" applyNumberFormat="1" applyFont="1" applyBorder="1"/>
    <xf numFmtId="4" fontId="3" fillId="0" borderId="8" xfId="0" applyNumberFormat="1" applyFont="1" applyFill="1" applyBorder="1"/>
    <xf numFmtId="4" fontId="1" fillId="0" borderId="13" xfId="0" applyNumberFormat="1" applyFont="1" applyFill="1" applyBorder="1"/>
    <xf numFmtId="4" fontId="1" fillId="0" borderId="14" xfId="0" applyNumberFormat="1" applyFont="1" applyFill="1" applyBorder="1"/>
    <xf numFmtId="0" fontId="1" fillId="0" borderId="0" xfId="0" applyFont="1" applyFill="1" applyBorder="1"/>
    <xf numFmtId="0" fontId="25" fillId="0" borderId="0" xfId="0" applyFont="1"/>
    <xf numFmtId="10" fontId="1" fillId="0" borderId="0" xfId="1" applyNumberFormat="1" applyFont="1" applyAlignment="1">
      <alignment horizontal="center"/>
    </xf>
    <xf numFmtId="1" fontId="14" fillId="0" borderId="0" xfId="0" applyNumberFormat="1" applyFont="1"/>
    <xf numFmtId="2" fontId="3" fillId="0" borderId="0" xfId="0" applyNumberFormat="1" applyFont="1"/>
    <xf numFmtId="1" fontId="27" fillId="0" borderId="0" xfId="0" applyNumberFormat="1" applyFont="1" applyBorder="1"/>
    <xf numFmtId="1" fontId="7" fillId="0" borderId="0" xfId="0" applyNumberFormat="1" applyFont="1"/>
    <xf numFmtId="49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4" fontId="3" fillId="0" borderId="9" xfId="0" applyNumberFormat="1" applyFont="1" applyFill="1" applyBorder="1"/>
    <xf numFmtId="4" fontId="5" fillId="0" borderId="0" xfId="0" applyNumberFormat="1" applyFont="1" applyFill="1" applyBorder="1"/>
    <xf numFmtId="4" fontId="5" fillId="17" borderId="1" xfId="0" applyNumberFormat="1" applyFont="1" applyFill="1" applyBorder="1"/>
    <xf numFmtId="0" fontId="28" fillId="0" borderId="0" xfId="0" applyFont="1"/>
    <xf numFmtId="4" fontId="28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center"/>
    </xf>
    <xf numFmtId="4" fontId="30" fillId="0" borderId="0" xfId="0" applyNumberFormat="1" applyFont="1" applyFill="1" applyAlignment="1">
      <alignment horizontal="center"/>
    </xf>
    <xf numFmtId="0" fontId="28" fillId="0" borderId="0" xfId="0" applyFont="1" applyBorder="1"/>
    <xf numFmtId="0" fontId="15" fillId="0" borderId="20" xfId="0" applyFont="1" applyBorder="1"/>
    <xf numFmtId="4" fontId="15" fillId="0" borderId="0" xfId="0" applyNumberFormat="1" applyFont="1" applyAlignment="1"/>
    <xf numFmtId="4" fontId="14" fillId="0" borderId="12" xfId="0" applyNumberFormat="1" applyFont="1" applyBorder="1"/>
    <xf numFmtId="0" fontId="14" fillId="0" borderId="20" xfId="0" applyFont="1" applyBorder="1"/>
    <xf numFmtId="0" fontId="14" fillId="0" borderId="20" xfId="0" applyFont="1" applyBorder="1" applyAlignment="1">
      <alignment wrapText="1"/>
    </xf>
    <xf numFmtId="4" fontId="14" fillId="0" borderId="20" xfId="0" applyNumberFormat="1" applyFont="1" applyBorder="1"/>
    <xf numFmtId="0" fontId="27" fillId="0" borderId="0" xfId="0" applyFont="1"/>
    <xf numFmtId="3" fontId="27" fillId="0" borderId="0" xfId="0" applyNumberFormat="1" applyFont="1"/>
    <xf numFmtId="0" fontId="31" fillId="0" borderId="0" xfId="0" applyFont="1"/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horizontal="right"/>
    </xf>
    <xf numFmtId="3" fontId="16" fillId="12" borderId="0" xfId="0" applyNumberFormat="1" applyFont="1" applyFill="1"/>
    <xf numFmtId="0" fontId="27" fillId="0" borderId="20" xfId="0" applyFont="1" applyBorder="1"/>
    <xf numFmtId="3" fontId="16" fillId="0" borderId="0" xfId="0" applyNumberFormat="1" applyFont="1" applyFill="1"/>
    <xf numFmtId="3" fontId="1" fillId="9" borderId="3" xfId="0" applyNumberFormat="1" applyFont="1" applyFill="1" applyBorder="1" applyAlignment="1">
      <alignment horizontal="center" wrapText="1"/>
    </xf>
    <xf numFmtId="3" fontId="1" fillId="18" borderId="7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right"/>
    </xf>
    <xf numFmtId="3" fontId="3" fillId="0" borderId="0" xfId="2" applyNumberFormat="1" applyFont="1"/>
    <xf numFmtId="3" fontId="1" fillId="9" borderId="3" xfId="2" applyNumberFormat="1" applyFont="1" applyFill="1" applyBorder="1"/>
    <xf numFmtId="3" fontId="3" fillId="0" borderId="0" xfId="0" applyNumberFormat="1" applyFont="1"/>
    <xf numFmtId="3" fontId="13" fillId="18" borderId="1" xfId="0" applyNumberFormat="1" applyFont="1" applyFill="1" applyBorder="1"/>
    <xf numFmtId="0" fontId="34" fillId="0" borderId="0" xfId="0" applyFont="1" applyAlignment="1">
      <alignment horizontal="center" wrapText="1"/>
    </xf>
    <xf numFmtId="165" fontId="3" fillId="0" borderId="0" xfId="3" applyNumberFormat="1" applyFont="1" applyBorder="1" applyAlignment="1">
      <alignment horizontal="right"/>
    </xf>
    <xf numFmtId="0" fontId="3" fillId="0" borderId="0" xfId="3" applyFont="1"/>
    <xf numFmtId="0" fontId="15" fillId="0" borderId="12" xfId="0" applyFont="1" applyBorder="1"/>
    <xf numFmtId="0" fontId="27" fillId="0" borderId="12" xfId="0" applyFont="1" applyBorder="1"/>
    <xf numFmtId="10" fontId="27" fillId="0" borderId="0" xfId="0" applyNumberFormat="1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10" fontId="3" fillId="0" borderId="0" xfId="1" applyNumberFormat="1" applyFont="1"/>
    <xf numFmtId="10" fontId="3" fillId="0" borderId="0" xfId="1" applyNumberFormat="1" applyFont="1" applyFill="1"/>
    <xf numFmtId="10" fontId="1" fillId="0" borderId="0" xfId="1" applyNumberFormat="1" applyFont="1" applyFill="1"/>
    <xf numFmtId="0" fontId="3" fillId="0" borderId="0" xfId="0" applyFont="1" applyFill="1"/>
    <xf numFmtId="10" fontId="1" fillId="0" borderId="0" xfId="1" applyNumberFormat="1" applyFont="1"/>
    <xf numFmtId="3" fontId="13" fillId="0" borderId="2" xfId="0" applyNumberFormat="1" applyFont="1" applyBorder="1"/>
    <xf numFmtId="10" fontId="13" fillId="0" borderId="3" xfId="1" applyNumberFormat="1" applyFont="1" applyBorder="1"/>
    <xf numFmtId="3" fontId="13" fillId="0" borderId="3" xfId="0" applyNumberFormat="1" applyFont="1" applyBorder="1"/>
    <xf numFmtId="3" fontId="1" fillId="0" borderId="0" xfId="0" applyNumberFormat="1" applyFont="1" applyBorder="1"/>
    <xf numFmtId="0" fontId="13" fillId="0" borderId="3" xfId="0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right"/>
    </xf>
    <xf numFmtId="167" fontId="3" fillId="0" borderId="0" xfId="0" applyNumberFormat="1" applyFont="1"/>
    <xf numFmtId="10" fontId="1" fillId="0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center" wrapText="1"/>
    </xf>
    <xf numFmtId="3" fontId="0" fillId="0" borderId="0" xfId="0" applyNumberFormat="1" applyFill="1"/>
    <xf numFmtId="3" fontId="3" fillId="0" borderId="0" xfId="0" applyNumberFormat="1" applyFont="1" applyFill="1" applyAlignment="1">
      <alignment horizontal="right"/>
    </xf>
    <xf numFmtId="0" fontId="0" fillId="0" borderId="0" xfId="0" applyFill="1"/>
    <xf numFmtId="10" fontId="3" fillId="0" borderId="6" xfId="1" applyNumberFormat="1" applyFont="1" applyFill="1" applyBorder="1"/>
    <xf numFmtId="10" fontId="3" fillId="0" borderId="9" xfId="1" applyNumberFormat="1" applyFont="1" applyFill="1" applyBorder="1"/>
    <xf numFmtId="10" fontId="3" fillId="0" borderId="5" xfId="1" applyNumberFormat="1" applyFont="1" applyBorder="1"/>
    <xf numFmtId="10" fontId="3" fillId="0" borderId="6" xfId="1" applyNumberFormat="1" applyFont="1" applyBorder="1"/>
    <xf numFmtId="10" fontId="3" fillId="0" borderId="0" xfId="1" applyNumberFormat="1" applyFont="1" applyBorder="1"/>
    <xf numFmtId="10" fontId="3" fillId="0" borderId="9" xfId="1" applyNumberFormat="1" applyFont="1" applyBorder="1"/>
    <xf numFmtId="0" fontId="3" fillId="0" borderId="12" xfId="0" applyFont="1" applyBorder="1" applyAlignment="1">
      <alignment horizontal="right"/>
    </xf>
    <xf numFmtId="3" fontId="3" fillId="0" borderId="13" xfId="0" applyNumberFormat="1" applyFont="1" applyBorder="1"/>
    <xf numFmtId="3" fontId="3" fillId="0" borderId="5" xfId="0" applyNumberFormat="1" applyFont="1" applyBorder="1"/>
    <xf numFmtId="4" fontId="27" fillId="0" borderId="0" xfId="0" applyNumberFormat="1" applyFont="1" applyFill="1"/>
    <xf numFmtId="0" fontId="27" fillId="0" borderId="0" xfId="0" applyFont="1" applyFill="1"/>
    <xf numFmtId="3" fontId="27" fillId="0" borderId="0" xfId="0" applyNumberFormat="1" applyFont="1" applyFill="1"/>
    <xf numFmtId="0" fontId="14" fillId="0" borderId="0" xfId="0" applyFont="1" applyFill="1"/>
    <xf numFmtId="0" fontId="18" fillId="0" borderId="20" xfId="0" applyFont="1" applyFill="1" applyBorder="1"/>
    <xf numFmtId="0" fontId="18" fillId="0" borderId="20" xfId="0" applyFont="1" applyFill="1" applyBorder="1" applyAlignment="1">
      <alignment horizontal="right"/>
    </xf>
    <xf numFmtId="0" fontId="25" fillId="0" borderId="0" xfId="0" applyFont="1" applyBorder="1"/>
    <xf numFmtId="4" fontId="25" fillId="0" borderId="0" xfId="0" applyNumberFormat="1" applyFont="1" applyFill="1" applyBorder="1"/>
    <xf numFmtId="0" fontId="25" fillId="0" borderId="0" xfId="0" applyFont="1" applyFill="1" applyBorder="1"/>
    <xf numFmtId="0" fontId="36" fillId="0" borderId="0" xfId="0" applyFont="1" applyFill="1" applyBorder="1"/>
    <xf numFmtId="4" fontId="36" fillId="0" borderId="0" xfId="0" applyNumberFormat="1" applyFont="1" applyFill="1" applyBorder="1"/>
    <xf numFmtId="0" fontId="35" fillId="0" borderId="0" xfId="0" applyFont="1" applyFill="1"/>
    <xf numFmtId="3" fontId="1" fillId="19" borderId="37" xfId="0" applyNumberFormat="1" applyFont="1" applyFill="1" applyBorder="1"/>
    <xf numFmtId="3" fontId="1" fillId="19" borderId="38" xfId="0" applyNumberFormat="1" applyFont="1" applyFill="1" applyBorder="1"/>
    <xf numFmtId="0" fontId="1" fillId="19" borderId="37" xfId="0" applyFont="1" applyFill="1" applyBorder="1"/>
    <xf numFmtId="0" fontId="1" fillId="19" borderId="38" xfId="0" applyFont="1" applyFill="1" applyBorder="1"/>
    <xf numFmtId="0" fontId="1" fillId="21" borderId="41" xfId="0" applyFont="1" applyFill="1" applyBorder="1" applyAlignment="1">
      <alignment horizontal="center" wrapText="1"/>
    </xf>
    <xf numFmtId="0" fontId="1" fillId="21" borderId="33" xfId="0" applyFont="1" applyFill="1" applyBorder="1" applyAlignment="1">
      <alignment horizontal="center" wrapText="1"/>
    </xf>
    <xf numFmtId="3" fontId="13" fillId="21" borderId="42" xfId="0" applyNumberFormat="1" applyFont="1" applyFill="1" applyBorder="1"/>
    <xf numFmtId="3" fontId="13" fillId="21" borderId="43" xfId="0" applyNumberFormat="1" applyFont="1" applyFill="1" applyBorder="1"/>
    <xf numFmtId="3" fontId="1" fillId="19" borderId="26" xfId="0" applyNumberFormat="1" applyFont="1" applyFill="1" applyBorder="1" applyAlignment="1"/>
    <xf numFmtId="3" fontId="1" fillId="19" borderId="36" xfId="0" applyNumberFormat="1" applyFont="1" applyFill="1" applyBorder="1" applyAlignment="1"/>
    <xf numFmtId="3" fontId="1" fillId="19" borderId="37" xfId="0" applyNumberFormat="1" applyFont="1" applyFill="1" applyBorder="1" applyAlignment="1"/>
    <xf numFmtId="3" fontId="1" fillId="19" borderId="38" xfId="0" applyNumberFormat="1" applyFont="1" applyFill="1" applyBorder="1" applyAlignment="1"/>
    <xf numFmtId="3" fontId="3" fillId="19" borderId="44" xfId="0" applyNumberFormat="1" applyFont="1" applyFill="1" applyBorder="1" applyAlignment="1"/>
    <xf numFmtId="3" fontId="3" fillId="19" borderId="45" xfId="0" applyNumberFormat="1" applyFont="1" applyFill="1" applyBorder="1" applyAlignment="1"/>
    <xf numFmtId="1" fontId="3" fillId="0" borderId="0" xfId="0" applyNumberFormat="1" applyFont="1" applyFill="1" applyBorder="1"/>
    <xf numFmtId="0" fontId="29" fillId="0" borderId="0" xfId="0" applyFont="1" applyAlignment="1">
      <alignment horizontal="left"/>
    </xf>
    <xf numFmtId="0" fontId="15" fillId="13" borderId="0" xfId="0" applyFont="1" applyFill="1"/>
    <xf numFmtId="0" fontId="14" fillId="13" borderId="0" xfId="0" applyFont="1" applyFill="1"/>
    <xf numFmtId="0" fontId="15" fillId="19" borderId="20" xfId="0" applyFont="1" applyFill="1" applyBorder="1" applyAlignment="1">
      <alignment vertical="center"/>
    </xf>
    <xf numFmtId="0" fontId="15" fillId="19" borderId="20" xfId="0" applyFont="1" applyFill="1" applyBorder="1" applyAlignment="1">
      <alignment vertical="center" wrapText="1"/>
    </xf>
    <xf numFmtId="4" fontId="15" fillId="19" borderId="0" xfId="0" applyNumberFormat="1" applyFont="1" applyFill="1"/>
    <xf numFmtId="0" fontId="39" fillId="0" borderId="0" xfId="0" applyFont="1"/>
    <xf numFmtId="0" fontId="27" fillId="0" borderId="0" xfId="0" applyFont="1" applyAlignment="1"/>
    <xf numFmtId="4" fontId="15" fillId="0" borderId="3" xfId="0" applyNumberFormat="1" applyFont="1" applyBorder="1" applyAlignment="1"/>
    <xf numFmtId="4" fontId="27" fillId="0" borderId="0" xfId="0" applyNumberFormat="1" applyFont="1"/>
    <xf numFmtId="4" fontId="27" fillId="0" borderId="20" xfId="0" applyNumberFormat="1" applyFont="1" applyBorder="1"/>
    <xf numFmtId="0" fontId="16" fillId="0" borderId="20" xfId="0" applyFont="1" applyBorder="1"/>
    <xf numFmtId="4" fontId="15" fillId="10" borderId="3" xfId="0" applyNumberFormat="1" applyFont="1" applyFill="1" applyBorder="1"/>
    <xf numFmtId="4" fontId="15" fillId="11" borderId="3" xfId="0" applyNumberFormat="1" applyFont="1" applyFill="1" applyBorder="1"/>
    <xf numFmtId="4" fontId="15" fillId="9" borderId="3" xfId="0" applyNumberFormat="1" applyFont="1" applyFill="1" applyBorder="1"/>
    <xf numFmtId="4" fontId="15" fillId="12" borderId="3" xfId="0" applyNumberFormat="1" applyFont="1" applyFill="1" applyBorder="1"/>
    <xf numFmtId="0" fontId="27" fillId="20" borderId="0" xfId="0" applyFont="1" applyFill="1"/>
    <xf numFmtId="0" fontId="1" fillId="12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38" fillId="2" borderId="20" xfId="0" applyFont="1" applyFill="1" applyBorder="1"/>
    <xf numFmtId="0" fontId="38" fillId="2" borderId="20" xfId="0" applyFont="1" applyFill="1" applyBorder="1" applyAlignment="1">
      <alignment horizontal="center"/>
    </xf>
    <xf numFmtId="4" fontId="38" fillId="2" borderId="20" xfId="0" applyNumberFormat="1" applyFont="1" applyFill="1" applyBorder="1"/>
    <xf numFmtId="4" fontId="15" fillId="2" borderId="1" xfId="0" applyNumberFormat="1" applyFont="1" applyFill="1" applyBorder="1"/>
    <xf numFmtId="0" fontId="41" fillId="0" borderId="0" xfId="0" applyFont="1"/>
    <xf numFmtId="0" fontId="35" fillId="0" borderId="0" xfId="0" applyFont="1"/>
    <xf numFmtId="4" fontId="14" fillId="0" borderId="38" xfId="0" applyNumberFormat="1" applyFont="1" applyBorder="1"/>
    <xf numFmtId="4" fontId="14" fillId="0" borderId="49" xfId="0" applyNumberFormat="1" applyFont="1" applyBorder="1"/>
    <xf numFmtId="4" fontId="14" fillId="0" borderId="0" xfId="0" applyNumberFormat="1" applyFont="1" applyAlignment="1">
      <alignment horizontal="right"/>
    </xf>
    <xf numFmtId="4" fontId="15" fillId="22" borderId="3" xfId="0" applyNumberFormat="1" applyFont="1" applyFill="1" applyBorder="1"/>
    <xf numFmtId="0" fontId="16" fillId="22" borderId="3" xfId="0" applyFont="1" applyFill="1" applyBorder="1" applyAlignment="1">
      <alignment horizontal="right"/>
    </xf>
    <xf numFmtId="4" fontId="15" fillId="22" borderId="41" xfId="0" applyNumberFormat="1" applyFont="1" applyFill="1" applyBorder="1"/>
    <xf numFmtId="4" fontId="15" fillId="22" borderId="46" xfId="0" applyNumberFormat="1" applyFont="1" applyFill="1" applyBorder="1"/>
    <xf numFmtId="4" fontId="15" fillId="22" borderId="33" xfId="0" applyNumberFormat="1" applyFont="1" applyFill="1" applyBorder="1"/>
    <xf numFmtId="4" fontId="15" fillId="22" borderId="47" xfId="0" applyNumberFormat="1" applyFont="1" applyFill="1" applyBorder="1"/>
    <xf numFmtId="4" fontId="15" fillId="22" borderId="18" xfId="0" applyNumberFormat="1" applyFont="1" applyFill="1" applyBorder="1"/>
    <xf numFmtId="4" fontId="15" fillId="22" borderId="40" xfId="0" applyNumberFormat="1" applyFont="1" applyFill="1" applyBorder="1"/>
    <xf numFmtId="0" fontId="16" fillId="19" borderId="3" xfId="0" applyFont="1" applyFill="1" applyBorder="1" applyAlignment="1">
      <alignment horizontal="center" wrapText="1"/>
    </xf>
    <xf numFmtId="0" fontId="16" fillId="19" borderId="7" xfId="0" applyFont="1" applyFill="1" applyBorder="1" applyAlignment="1">
      <alignment horizontal="center" wrapText="1"/>
    </xf>
    <xf numFmtId="4" fontId="15" fillId="21" borderId="1" xfId="0" applyNumberFormat="1" applyFont="1" applyFill="1" applyBorder="1"/>
    <xf numFmtId="0" fontId="3" fillId="9" borderId="0" xfId="0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5" fillId="17" borderId="1" xfId="0" applyNumberFormat="1" applyFont="1" applyFill="1" applyBorder="1" applyAlignment="1">
      <alignment horizontal="center"/>
    </xf>
    <xf numFmtId="0" fontId="1" fillId="0" borderId="28" xfId="0" applyFont="1" applyBorder="1"/>
    <xf numFmtId="4" fontId="1" fillId="0" borderId="28" xfId="0" applyNumberFormat="1" applyFont="1" applyBorder="1"/>
    <xf numFmtId="10" fontId="1" fillId="0" borderId="28" xfId="1" applyNumberFormat="1" applyFont="1" applyBorder="1" applyAlignment="1">
      <alignment horizontal="center"/>
    </xf>
    <xf numFmtId="0" fontId="15" fillId="0" borderId="0" xfId="0" applyNumberFormat="1" applyFont="1"/>
    <xf numFmtId="0" fontId="15" fillId="0" borderId="28" xfId="0" applyNumberFormat="1" applyFont="1" applyBorder="1"/>
    <xf numFmtId="4" fontId="3" fillId="0" borderId="0" xfId="1" applyNumberFormat="1" applyFont="1" applyFill="1"/>
    <xf numFmtId="0" fontId="15" fillId="19" borderId="20" xfId="0" applyFont="1" applyFill="1" applyBorder="1" applyAlignment="1">
      <alignment horizontal="center" vertical="center" wrapText="1"/>
    </xf>
    <xf numFmtId="0" fontId="42" fillId="0" borderId="20" xfId="0" applyFont="1" applyBorder="1"/>
    <xf numFmtId="0" fontId="43" fillId="0" borderId="20" xfId="0" applyFont="1" applyBorder="1"/>
    <xf numFmtId="0" fontId="44" fillId="0" borderId="0" xfId="0" applyFont="1"/>
    <xf numFmtId="0" fontId="21" fillId="0" borderId="0" xfId="0" applyFont="1"/>
    <xf numFmtId="3" fontId="27" fillId="0" borderId="20" xfId="0" applyNumberFormat="1" applyFont="1" applyFill="1" applyBorder="1"/>
    <xf numFmtId="0" fontId="45" fillId="0" borderId="0" xfId="0" applyFont="1"/>
    <xf numFmtId="0" fontId="46" fillId="0" borderId="0" xfId="0" applyFont="1" applyBorder="1"/>
    <xf numFmtId="4" fontId="1" fillId="0" borderId="3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/>
    </xf>
    <xf numFmtId="0" fontId="47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4" fontId="15" fillId="5" borderId="3" xfId="0" applyNumberFormat="1" applyFont="1" applyFill="1" applyBorder="1" applyAlignment="1">
      <alignment horizontal="center" vertical="center"/>
    </xf>
    <xf numFmtId="0" fontId="50" fillId="0" borderId="0" xfId="0" applyFont="1"/>
    <xf numFmtId="4" fontId="13" fillId="10" borderId="0" xfId="0" applyNumberFormat="1" applyFont="1" applyFill="1"/>
    <xf numFmtId="4" fontId="2" fillId="10" borderId="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164" fontId="27" fillId="0" borderId="0" xfId="0" applyNumberFormat="1" applyFont="1"/>
    <xf numFmtId="3" fontId="22" fillId="0" borderId="0" xfId="0" applyNumberFormat="1" applyFont="1"/>
    <xf numFmtId="4" fontId="16" fillId="0" borderId="0" xfId="0" applyNumberFormat="1" applyFont="1" applyAlignment="1">
      <alignment vertical="center"/>
    </xf>
    <xf numFmtId="3" fontId="13" fillId="10" borderId="0" xfId="0" applyNumberFormat="1" applyFont="1" applyFill="1"/>
    <xf numFmtId="0" fontId="47" fillId="0" borderId="0" xfId="0" applyFont="1" applyFill="1" applyAlignment="1">
      <alignment horizontal="right"/>
    </xf>
    <xf numFmtId="3" fontId="15" fillId="0" borderId="0" xfId="0" applyNumberFormat="1" applyFont="1" applyFill="1" applyAlignment="1">
      <alignment vertical="center"/>
    </xf>
    <xf numFmtId="3" fontId="3" fillId="0" borderId="4" xfId="0" applyNumberFormat="1" applyFont="1" applyFill="1" applyBorder="1"/>
    <xf numFmtId="3" fontId="3" fillId="0" borderId="8" xfId="0" applyNumberFormat="1" applyFont="1" applyFill="1" applyBorder="1"/>
    <xf numFmtId="4" fontId="21" fillId="0" borderId="0" xfId="0" applyNumberFormat="1" applyFont="1" applyBorder="1"/>
    <xf numFmtId="0" fontId="21" fillId="0" borderId="0" xfId="0" applyFont="1" applyFill="1" applyBorder="1"/>
    <xf numFmtId="0" fontId="51" fillId="0" borderId="0" xfId="0" applyFont="1" applyBorder="1" applyAlignment="1">
      <alignment horizontal="center"/>
    </xf>
    <xf numFmtId="1" fontId="52" fillId="0" borderId="0" xfId="0" applyNumberFormat="1" applyFont="1" applyBorder="1"/>
    <xf numFmtId="0" fontId="53" fillId="0" borderId="0" xfId="0" applyFont="1"/>
    <xf numFmtId="4" fontId="15" fillId="16" borderId="3" xfId="0" applyNumberFormat="1" applyFont="1" applyFill="1" applyBorder="1"/>
    <xf numFmtId="0" fontId="14" fillId="16" borderId="3" xfId="0" applyFont="1" applyFill="1" applyBorder="1"/>
    <xf numFmtId="0" fontId="1" fillId="9" borderId="0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indent="1"/>
    </xf>
    <xf numFmtId="0" fontId="53" fillId="0" borderId="0" xfId="0" applyFont="1" applyBorder="1"/>
    <xf numFmtId="0" fontId="42" fillId="0" borderId="0" xfId="0" applyFont="1"/>
    <xf numFmtId="3" fontId="14" fillId="0" borderId="0" xfId="0" applyNumberFormat="1" applyFont="1"/>
    <xf numFmtId="0" fontId="15" fillId="13" borderId="21" xfId="0" applyFont="1" applyFill="1" applyBorder="1"/>
    <xf numFmtId="0" fontId="15" fillId="13" borderId="50" xfId="0" applyFont="1" applyFill="1" applyBorder="1"/>
    <xf numFmtId="0" fontId="15" fillId="12" borderId="3" xfId="0" applyFont="1" applyFill="1" applyBorder="1" applyAlignment="1">
      <alignment horizontal="center"/>
    </xf>
    <xf numFmtId="3" fontId="14" fillId="0" borderId="3" xfId="0" applyNumberFormat="1" applyFont="1" applyBorder="1"/>
    <xf numFmtId="3" fontId="3" fillId="0" borderId="3" xfId="0" applyNumberFormat="1" applyFont="1" applyFill="1" applyBorder="1"/>
    <xf numFmtId="3" fontId="3" fillId="0" borderId="3" xfId="2" applyNumberFormat="1" applyFont="1" applyBorder="1"/>
    <xf numFmtId="0" fontId="15" fillId="23" borderId="21" xfId="0" applyFont="1" applyFill="1" applyBorder="1"/>
    <xf numFmtId="0" fontId="15" fillId="23" borderId="50" xfId="0" applyFont="1" applyFill="1" applyBorder="1"/>
    <xf numFmtId="0" fontId="15" fillId="10" borderId="3" xfId="0" applyFont="1" applyFill="1" applyBorder="1" applyAlignment="1">
      <alignment horizontal="center"/>
    </xf>
    <xf numFmtId="0" fontId="15" fillId="24" borderId="21" xfId="0" applyFont="1" applyFill="1" applyBorder="1"/>
    <xf numFmtId="0" fontId="15" fillId="24" borderId="50" xfId="0" applyFont="1" applyFill="1" applyBorder="1"/>
    <xf numFmtId="0" fontId="15" fillId="11" borderId="3" xfId="0" applyFont="1" applyFill="1" applyBorder="1" applyAlignment="1">
      <alignment horizontal="center"/>
    </xf>
    <xf numFmtId="0" fontId="15" fillId="25" borderId="21" xfId="0" applyFont="1" applyFill="1" applyBorder="1"/>
    <xf numFmtId="0" fontId="15" fillId="25" borderId="50" xfId="0" applyFont="1" applyFill="1" applyBorder="1"/>
    <xf numFmtId="0" fontId="15" fillId="9" borderId="3" xfId="0" applyFont="1" applyFill="1" applyBorder="1" applyAlignment="1">
      <alignment horizontal="center"/>
    </xf>
    <xf numFmtId="3" fontId="38" fillId="0" borderId="34" xfId="0" applyNumberFormat="1" applyFont="1" applyBorder="1"/>
    <xf numFmtId="3" fontId="38" fillId="0" borderId="35" xfId="0" applyNumberFormat="1" applyFont="1" applyBorder="1"/>
    <xf numFmtId="3" fontId="38" fillId="0" borderId="23" xfId="0" applyNumberFormat="1" applyFont="1" applyBorder="1"/>
    <xf numFmtId="3" fontId="14" fillId="0" borderId="20" xfId="0" applyNumberFormat="1" applyFont="1" applyBorder="1"/>
    <xf numFmtId="3" fontId="1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54" fillId="0" borderId="0" xfId="0" applyFont="1"/>
    <xf numFmtId="0" fontId="34" fillId="0" borderId="0" xfId="0" applyFont="1" applyBorder="1" applyAlignment="1">
      <alignment horizontal="left"/>
    </xf>
    <xf numFmtId="0" fontId="56" fillId="0" borderId="0" xfId="0" applyFont="1"/>
    <xf numFmtId="4" fontId="0" fillId="0" borderId="0" xfId="0" applyNumberFormat="1" applyFill="1"/>
    <xf numFmtId="0" fontId="38" fillId="0" borderId="0" xfId="0" applyFont="1" applyFill="1"/>
    <xf numFmtId="4" fontId="42" fillId="0" borderId="0" xfId="0" applyNumberFormat="1" applyFont="1" applyFill="1"/>
    <xf numFmtId="4" fontId="16" fillId="0" borderId="20" xfId="0" applyNumberFormat="1" applyFont="1" applyBorder="1"/>
    <xf numFmtId="3" fontId="15" fillId="0" borderId="0" xfId="0" applyNumberFormat="1" applyFont="1"/>
    <xf numFmtId="0" fontId="43" fillId="0" borderId="0" xfId="0" applyFont="1"/>
    <xf numFmtId="4" fontId="27" fillId="0" borderId="20" xfId="0" applyNumberFormat="1" applyFont="1" applyFill="1" applyBorder="1"/>
    <xf numFmtId="0" fontId="1" fillId="4" borderId="15" xfId="0" applyFont="1" applyFill="1" applyBorder="1" applyAlignment="1">
      <alignment horizontal="right"/>
    </xf>
    <xf numFmtId="0" fontId="58" fillId="0" borderId="0" xfId="0" applyFont="1"/>
    <xf numFmtId="3" fontId="3" fillId="0" borderId="3" xfId="2" applyNumberFormat="1" applyFont="1" applyBorder="1" applyAlignment="1"/>
    <xf numFmtId="0" fontId="0" fillId="0" borderId="3" xfId="0" applyBorder="1"/>
    <xf numFmtId="3" fontId="1" fillId="11" borderId="3" xfId="0" applyNumberFormat="1" applyFont="1" applyFill="1" applyBorder="1" applyAlignment="1">
      <alignment horizontal="center" wrapText="1"/>
    </xf>
    <xf numFmtId="3" fontId="1" fillId="11" borderId="7" xfId="0" applyNumberFormat="1" applyFont="1" applyFill="1" applyBorder="1" applyAlignment="1">
      <alignment horizontal="center" wrapText="1"/>
    </xf>
    <xf numFmtId="0" fontId="60" fillId="0" borderId="0" xfId="0" applyFont="1" applyAlignment="1">
      <alignment horizontal="center"/>
    </xf>
    <xf numFmtId="49" fontId="28" fillId="0" borderId="10" xfId="0" applyNumberFormat="1" applyFont="1" applyBorder="1"/>
    <xf numFmtId="0" fontId="27" fillId="0" borderId="0" xfId="0" applyFont="1" applyAlignment="1">
      <alignment wrapText="1"/>
    </xf>
    <xf numFmtId="0" fontId="27" fillId="0" borderId="12" xfId="0" applyFont="1" applyBorder="1" applyAlignment="1">
      <alignment wrapText="1"/>
    </xf>
    <xf numFmtId="0" fontId="15" fillId="19" borderId="0" xfId="0" applyFont="1" applyFill="1" applyAlignment="1">
      <alignment horizontal="center" vertical="center"/>
    </xf>
    <xf numFmtId="0" fontId="15" fillId="19" borderId="12" xfId="0" applyFont="1" applyFill="1" applyBorder="1" applyAlignment="1">
      <alignment horizontal="center" vertical="center"/>
    </xf>
    <xf numFmtId="0" fontId="15" fillId="19" borderId="0" xfId="0" applyFont="1" applyFill="1" applyAlignment="1">
      <alignment vertical="center"/>
    </xf>
    <xf numFmtId="0" fontId="14" fillId="0" borderId="20" xfId="0" applyFont="1" applyBorder="1" applyAlignment="1">
      <alignment vertical="center"/>
    </xf>
    <xf numFmtId="0" fontId="15" fillId="19" borderId="20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63" fillId="0" borderId="0" xfId="0" applyFont="1"/>
    <xf numFmtId="0" fontId="28" fillId="0" borderId="0" xfId="0" applyFont="1" applyFill="1" applyBorder="1" applyAlignment="1">
      <alignment horizontal="left" indent="1"/>
    </xf>
    <xf numFmtId="0" fontId="1" fillId="20" borderId="0" xfId="0" applyFont="1" applyFill="1" applyBorder="1" applyAlignment="1">
      <alignment horizontal="center"/>
    </xf>
    <xf numFmtId="0" fontId="27" fillId="0" borderId="0" xfId="0" applyFont="1" applyFill="1" applyBorder="1"/>
    <xf numFmtId="4" fontId="1" fillId="0" borderId="0" xfId="0" applyNumberFormat="1" applyFont="1" applyFill="1" applyBorder="1" applyAlignment="1">
      <alignment wrapText="1"/>
    </xf>
    <xf numFmtId="4" fontId="13" fillId="0" borderId="0" xfId="0" applyNumberFormat="1" applyFont="1" applyFill="1" applyBorder="1"/>
    <xf numFmtId="3" fontId="13" fillId="0" borderId="2" xfId="0" applyNumberFormat="1" applyFont="1" applyFill="1" applyBorder="1"/>
    <xf numFmtId="3" fontId="13" fillId="0" borderId="3" xfId="0" applyNumberFormat="1" applyFont="1" applyFill="1" applyBorder="1"/>
    <xf numFmtId="4" fontId="14" fillId="0" borderId="7" xfId="0" applyNumberFormat="1" applyFont="1" applyFill="1" applyBorder="1"/>
    <xf numFmtId="4" fontId="14" fillId="0" borderId="0" xfId="0" applyNumberFormat="1" applyFont="1" applyFill="1"/>
    <xf numFmtId="4" fontId="14" fillId="0" borderId="12" xfId="0" applyNumberFormat="1" applyFont="1" applyFill="1" applyBorder="1"/>
    <xf numFmtId="4" fontId="14" fillId="0" borderId="10" xfId="0" applyNumberFormat="1" applyFont="1" applyFill="1" applyBorder="1"/>
    <xf numFmtId="4" fontId="14" fillId="0" borderId="37" xfId="0" applyNumberFormat="1" applyFont="1" applyFill="1" applyBorder="1"/>
    <xf numFmtId="4" fontId="14" fillId="0" borderId="48" xfId="0" applyNumberFormat="1" applyFont="1" applyFill="1" applyBorder="1"/>
    <xf numFmtId="3" fontId="3" fillId="0" borderId="11" xfId="0" applyNumberFormat="1" applyFont="1" applyFill="1" applyBorder="1"/>
    <xf numFmtId="0" fontId="15" fillId="0" borderId="12" xfId="0" applyFont="1" applyFill="1" applyBorder="1"/>
    <xf numFmtId="0" fontId="27" fillId="0" borderId="12" xfId="0" applyFont="1" applyFill="1" applyBorder="1"/>
    <xf numFmtId="0" fontId="42" fillId="0" borderId="20" xfId="0" applyFont="1" applyFill="1" applyBorder="1"/>
    <xf numFmtId="0" fontId="27" fillId="0" borderId="20" xfId="0" applyFont="1" applyFill="1" applyBorder="1"/>
    <xf numFmtId="1" fontId="21" fillId="0" borderId="0" xfId="0" applyNumberFormat="1" applyFont="1" applyFill="1" applyBorder="1"/>
    <xf numFmtId="3" fontId="3" fillId="0" borderId="5" xfId="0" applyNumberFormat="1" applyFont="1" applyFill="1" applyBorder="1"/>
    <xf numFmtId="3" fontId="1" fillId="0" borderId="7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1" fillId="11" borderId="3" xfId="0" applyNumberFormat="1" applyFont="1" applyFill="1" applyBorder="1"/>
    <xf numFmtId="3" fontId="1" fillId="6" borderId="1" xfId="0" applyNumberFormat="1" applyFont="1" applyFill="1" applyBorder="1"/>
    <xf numFmtId="4" fontId="1" fillId="0" borderId="34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/>
    <xf numFmtId="1" fontId="7" fillId="0" borderId="38" xfId="0" applyNumberFormat="1" applyFont="1" applyBorder="1"/>
    <xf numFmtId="0" fontId="3" fillId="0" borderId="39" xfId="0" applyFont="1" applyBorder="1" applyAlignment="1">
      <alignment horizontal="center"/>
    </xf>
    <xf numFmtId="4" fontId="1" fillId="0" borderId="51" xfId="0" applyNumberFormat="1" applyFont="1" applyFill="1" applyBorder="1"/>
    <xf numFmtId="4" fontId="1" fillId="0" borderId="52" xfId="0" applyNumberFormat="1" applyFont="1" applyFill="1" applyBorder="1"/>
    <xf numFmtId="4" fontId="3" fillId="0" borderId="37" xfId="0" applyNumberFormat="1" applyFont="1" applyFill="1" applyBorder="1" applyAlignment="1">
      <alignment vertical="center"/>
    </xf>
    <xf numFmtId="4" fontId="3" fillId="0" borderId="38" xfId="0" applyNumberFormat="1" applyFont="1" applyFill="1" applyBorder="1" applyAlignment="1">
      <alignment vertical="center"/>
    </xf>
    <xf numFmtId="4" fontId="3" fillId="0" borderId="37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vertical="center"/>
    </xf>
    <xf numFmtId="4" fontId="3" fillId="0" borderId="40" xfId="0" applyNumberFormat="1" applyFont="1" applyFill="1" applyBorder="1" applyAlignment="1">
      <alignment horizontal="right"/>
    </xf>
    <xf numFmtId="4" fontId="27" fillId="0" borderId="0" xfId="0" applyNumberFormat="1" applyFont="1" applyAlignment="1">
      <alignment horizontal="center"/>
    </xf>
    <xf numFmtId="0" fontId="16" fillId="13" borderId="41" xfId="0" applyFont="1" applyFill="1" applyBorder="1"/>
    <xf numFmtId="0" fontId="16" fillId="13" borderId="33" xfId="0" applyFont="1" applyFill="1" applyBorder="1" applyAlignment="1">
      <alignment horizontal="right"/>
    </xf>
    <xf numFmtId="0" fontId="16" fillId="12" borderId="42" xfId="0" applyFont="1" applyFill="1" applyBorder="1"/>
    <xf numFmtId="0" fontId="16" fillId="12" borderId="53" xfId="0" applyFont="1" applyFill="1" applyBorder="1" applyAlignment="1">
      <alignment horizontal="center"/>
    </xf>
    <xf numFmtId="0" fontId="16" fillId="12" borderId="43" xfId="0" applyFont="1" applyFill="1" applyBorder="1"/>
    <xf numFmtId="0" fontId="65" fillId="0" borderId="0" xfId="0" applyFont="1"/>
    <xf numFmtId="0" fontId="16" fillId="19" borderId="58" xfId="0" applyFont="1" applyFill="1" applyBorder="1"/>
    <xf numFmtId="3" fontId="16" fillId="19" borderId="0" xfId="0" applyNumberFormat="1" applyFont="1" applyFill="1"/>
    <xf numFmtId="0" fontId="0" fillId="0" borderId="0" xfId="0" applyFont="1"/>
    <xf numFmtId="168" fontId="29" fillId="13" borderId="3" xfId="0" applyNumberFormat="1" applyFont="1" applyFill="1" applyBorder="1" applyProtection="1">
      <protection hidden="1"/>
    </xf>
    <xf numFmtId="0" fontId="29" fillId="0" borderId="0" xfId="0" applyFont="1"/>
    <xf numFmtId="3" fontId="27" fillId="0" borderId="0" xfId="0" applyNumberFormat="1" applyFont="1" applyFill="1" applyBorder="1"/>
    <xf numFmtId="3" fontId="15" fillId="0" borderId="0" xfId="0" applyNumberFormat="1" applyFont="1" applyBorder="1"/>
    <xf numFmtId="0" fontId="65" fillId="0" borderId="0" xfId="0" applyFont="1" applyAlignment="1">
      <alignment wrapText="1"/>
    </xf>
    <xf numFmtId="0" fontId="54" fillId="0" borderId="0" xfId="0" applyFont="1" applyAlignment="1"/>
    <xf numFmtId="4" fontId="2" fillId="11" borderId="3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66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5" fillId="19" borderId="3" xfId="0" applyNumberFormat="1" applyFont="1" applyFill="1" applyBorder="1" applyAlignment="1">
      <alignment horizontal="center"/>
    </xf>
    <xf numFmtId="3" fontId="15" fillId="5" borderId="3" xfId="0" applyNumberFormat="1" applyFont="1" applyFill="1" applyBorder="1" applyAlignment="1">
      <alignment horizontal="center" vertical="center"/>
    </xf>
    <xf numFmtId="3" fontId="15" fillId="24" borderId="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4" fontId="21" fillId="0" borderId="0" xfId="0" applyNumberFormat="1" applyFont="1" applyFill="1" applyBorder="1"/>
    <xf numFmtId="4" fontId="0" fillId="0" borderId="0" xfId="0" applyNumberFormat="1" applyBorder="1"/>
    <xf numFmtId="0" fontId="69" fillId="0" borderId="0" xfId="0" applyFont="1"/>
    <xf numFmtId="0" fontId="27" fillId="0" borderId="0" xfId="0" applyFont="1" applyBorder="1"/>
    <xf numFmtId="0" fontId="0" fillId="0" borderId="0" xfId="0" applyBorder="1"/>
    <xf numFmtId="3" fontId="64" fillId="12" borderId="0" xfId="0" applyNumberFormat="1" applyFont="1" applyFill="1"/>
    <xf numFmtId="0" fontId="15" fillId="19" borderId="2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wrapText="1"/>
    </xf>
    <xf numFmtId="3" fontId="3" fillId="0" borderId="0" xfId="2" applyNumberFormat="1" applyFont="1" applyFill="1" applyBorder="1"/>
    <xf numFmtId="3" fontId="1" fillId="0" borderId="0" xfId="2" applyNumberFormat="1" applyFont="1" applyFill="1" applyBorder="1"/>
    <xf numFmtId="0" fontId="70" fillId="0" borderId="0" xfId="0" applyFont="1"/>
    <xf numFmtId="0" fontId="52" fillId="0" borderId="0" xfId="0" applyFont="1" applyFill="1" applyAlignment="1">
      <alignment horizontal="center"/>
    </xf>
    <xf numFmtId="165" fontId="1" fillId="0" borderId="0" xfId="3" applyNumberFormat="1" applyFont="1" applyFill="1" applyBorder="1" applyProtection="1">
      <protection hidden="1"/>
    </xf>
    <xf numFmtId="0" fontId="54" fillId="0" borderId="0" xfId="0" applyFont="1" applyFill="1"/>
    <xf numFmtId="49" fontId="28" fillId="0" borderId="0" xfId="0" applyNumberFormat="1" applyFont="1" applyBorder="1"/>
    <xf numFmtId="49" fontId="28" fillId="0" borderId="14" xfId="0" applyNumberFormat="1" applyFont="1" applyBorder="1"/>
    <xf numFmtId="1" fontId="7" fillId="0" borderId="0" xfId="0" applyNumberFormat="1" applyFont="1" applyBorder="1"/>
    <xf numFmtId="1" fontId="3" fillId="0" borderId="28" xfId="0" applyNumberFormat="1" applyFont="1" applyFill="1" applyBorder="1"/>
    <xf numFmtId="1" fontId="3" fillId="0" borderId="40" xfId="0" applyNumberFormat="1" applyFont="1" applyFill="1" applyBorder="1"/>
    <xf numFmtId="4" fontId="1" fillId="24" borderId="15" xfId="0" applyNumberFormat="1" applyFont="1" applyFill="1" applyBorder="1" applyAlignment="1">
      <alignment horizontal="right"/>
    </xf>
    <xf numFmtId="4" fontId="1" fillId="24" borderId="3" xfId="0" applyNumberFormat="1" applyFont="1" applyFill="1" applyBorder="1" applyAlignment="1">
      <alignment horizontal="right"/>
    </xf>
    <xf numFmtId="4" fontId="1" fillId="4" borderId="0" xfId="0" applyNumberFormat="1" applyFont="1" applyFill="1" applyAlignment="1">
      <alignment horizontal="right"/>
    </xf>
    <xf numFmtId="10" fontId="1" fillId="0" borderId="15" xfId="0" applyNumberFormat="1" applyFont="1" applyFill="1" applyBorder="1" applyAlignment="1">
      <alignment horizontal="right"/>
    </xf>
    <xf numFmtId="0" fontId="4" fillId="0" borderId="0" xfId="0" applyFont="1" applyBorder="1"/>
    <xf numFmtId="0" fontId="13" fillId="0" borderId="0" xfId="0" applyFont="1" applyFill="1" applyBorder="1" applyAlignment="1">
      <alignment horizontal="left"/>
    </xf>
    <xf numFmtId="0" fontId="28" fillId="0" borderId="0" xfId="0" applyFont="1" applyFill="1"/>
    <xf numFmtId="0" fontId="3" fillId="0" borderId="0" xfId="0" applyFont="1" applyFill="1" applyBorder="1" applyAlignment="1"/>
    <xf numFmtId="0" fontId="14" fillId="16" borderId="3" xfId="0" applyFont="1" applyFill="1" applyBorder="1" applyAlignment="1">
      <alignment horizontal="right"/>
    </xf>
    <xf numFmtId="0" fontId="60" fillId="0" borderId="0" xfId="0" applyFont="1"/>
    <xf numFmtId="4" fontId="14" fillId="0" borderId="20" xfId="0" applyNumberFormat="1" applyFont="1" applyFill="1" applyBorder="1"/>
    <xf numFmtId="0" fontId="60" fillId="0" borderId="20" xfId="0" applyFont="1" applyBorder="1"/>
    <xf numFmtId="0" fontId="34" fillId="0" borderId="0" xfId="0" applyFont="1" applyFill="1" applyBorder="1" applyAlignment="1">
      <alignment horizontal="left"/>
    </xf>
    <xf numFmtId="0" fontId="10" fillId="0" borderId="0" xfId="0" applyFont="1" applyFill="1"/>
    <xf numFmtId="0" fontId="41" fillId="0" borderId="0" xfId="0" applyFont="1" applyFill="1"/>
    <xf numFmtId="4" fontId="14" fillId="0" borderId="9" xfId="0" applyNumberFormat="1" applyFont="1" applyFill="1" applyBorder="1"/>
    <xf numFmtId="0" fontId="42" fillId="0" borderId="0" xfId="0" applyFont="1" applyFill="1"/>
    <xf numFmtId="4" fontId="1" fillId="26" borderId="3" xfId="0" applyNumberFormat="1" applyFont="1" applyFill="1" applyBorder="1" applyAlignment="1">
      <alignment horizontal="center"/>
    </xf>
    <xf numFmtId="4" fontId="1" fillId="26" borderId="3" xfId="1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3" fontId="15" fillId="0" borderId="0" xfId="0" applyNumberFormat="1" applyFont="1" applyFill="1"/>
    <xf numFmtId="3" fontId="14" fillId="26" borderId="0" xfId="0" applyNumberFormat="1" applyFont="1" applyFill="1"/>
    <xf numFmtId="3" fontId="14" fillId="26" borderId="20" xfId="0" applyNumberFormat="1" applyFont="1" applyFill="1" applyBorder="1"/>
    <xf numFmtId="0" fontId="27" fillId="0" borderId="0" xfId="0" applyFont="1" applyAlignment="1">
      <alignment horizontal="right"/>
    </xf>
    <xf numFmtId="9" fontId="27" fillId="0" borderId="0" xfId="0" applyNumberFormat="1" applyFont="1"/>
    <xf numFmtId="0" fontId="27" fillId="0" borderId="28" xfId="0" applyFont="1" applyBorder="1"/>
    <xf numFmtId="9" fontId="27" fillId="0" borderId="28" xfId="0" applyNumberFormat="1" applyFont="1" applyBorder="1"/>
    <xf numFmtId="0" fontId="27" fillId="0" borderId="28" xfId="0" applyFont="1" applyBorder="1" applyAlignment="1">
      <alignment horizontal="right"/>
    </xf>
    <xf numFmtId="4" fontId="4" fillId="0" borderId="0" xfId="0" applyNumberFormat="1" applyFont="1"/>
    <xf numFmtId="10" fontId="3" fillId="0" borderId="0" xfId="0" applyNumberFormat="1" applyFont="1" applyFill="1" applyBorder="1" applyAlignment="1">
      <alignment horizontal="center"/>
    </xf>
    <xf numFmtId="4" fontId="1" fillId="10" borderId="1" xfId="0" applyNumberFormat="1" applyFont="1" applyFill="1" applyBorder="1"/>
    <xf numFmtId="4" fontId="3" fillId="26" borderId="14" xfId="0" applyNumberFormat="1" applyFont="1" applyFill="1" applyBorder="1" applyAlignment="1">
      <alignment horizontal="right"/>
    </xf>
    <xf numFmtId="4" fontId="3" fillId="26" borderId="14" xfId="0" applyNumberFormat="1" applyFont="1" applyFill="1" applyBorder="1" applyAlignment="1">
      <alignment vertical="center"/>
    </xf>
    <xf numFmtId="4" fontId="1" fillId="26" borderId="14" xfId="0" applyNumberFormat="1" applyFont="1" applyFill="1" applyBorder="1"/>
    <xf numFmtId="4" fontId="1" fillId="26" borderId="0" xfId="0" applyNumberFormat="1" applyFont="1" applyFill="1" applyAlignment="1">
      <alignment horizontal="right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63" fillId="0" borderId="0" xfId="0" applyFont="1" applyFill="1" applyBorder="1"/>
    <xf numFmtId="4" fontId="15" fillId="28" borderId="0" xfId="0" applyNumberFormat="1" applyFont="1" applyFill="1"/>
    <xf numFmtId="0" fontId="14" fillId="28" borderId="0" xfId="0" applyFont="1" applyFill="1" applyBorder="1"/>
    <xf numFmtId="0" fontId="15" fillId="28" borderId="0" xfId="0" applyFont="1" applyFill="1" applyBorder="1" applyAlignment="1">
      <alignment vertical="center" wrapText="1"/>
    </xf>
    <xf numFmtId="4" fontId="15" fillId="26" borderId="0" xfId="0" applyNumberFormat="1" applyFont="1" applyFill="1"/>
    <xf numFmtId="0" fontId="71" fillId="0" borderId="0" xfId="0" applyFont="1"/>
    <xf numFmtId="4" fontId="1" fillId="0" borderId="15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horizontal="center" vertical="center"/>
    </xf>
    <xf numFmtId="4" fontId="62" fillId="0" borderId="0" xfId="0" applyNumberFormat="1" applyFont="1" applyFill="1"/>
    <xf numFmtId="4" fontId="62" fillId="0" borderId="12" xfId="0" applyNumberFormat="1" applyFont="1" applyFill="1" applyBorder="1"/>
    <xf numFmtId="49" fontId="14" fillId="0" borderId="0" xfId="0" applyNumberFormat="1" applyFont="1" applyBorder="1"/>
    <xf numFmtId="49" fontId="14" fillId="0" borderId="13" xfId="0" applyNumberFormat="1" applyFont="1" applyBorder="1"/>
    <xf numFmtId="1" fontId="21" fillId="21" borderId="0" xfId="0" applyNumberFormat="1" applyFont="1" applyFill="1" applyBorder="1"/>
    <xf numFmtId="0" fontId="72" fillId="0" borderId="0" xfId="0" applyFont="1" applyBorder="1"/>
    <xf numFmtId="0" fontId="1" fillId="0" borderId="2" xfId="0" applyFont="1" applyFill="1" applyBorder="1" applyAlignment="1">
      <alignment horizontal="center" wrapText="1"/>
    </xf>
    <xf numFmtId="0" fontId="37" fillId="0" borderId="0" xfId="0" applyFont="1" applyFill="1"/>
    <xf numFmtId="0" fontId="18" fillId="20" borderId="0" xfId="0" applyFont="1" applyFill="1"/>
    <xf numFmtId="0" fontId="4" fillId="0" borderId="0" xfId="0" applyFont="1" applyFill="1"/>
    <xf numFmtId="4" fontId="42" fillId="20" borderId="0" xfId="0" applyNumberFormat="1" applyFont="1" applyFill="1"/>
    <xf numFmtId="0" fontId="27" fillId="0" borderId="0" xfId="0" applyFont="1" applyFill="1" applyBorder="1" applyAlignment="1">
      <alignment horizontal="center"/>
    </xf>
    <xf numFmtId="0" fontId="74" fillId="0" borderId="0" xfId="0" applyFont="1"/>
    <xf numFmtId="4" fontId="62" fillId="0" borderId="0" xfId="0" applyNumberFormat="1" applyFont="1"/>
    <xf numFmtId="0" fontId="15" fillId="0" borderId="0" xfId="0" applyFont="1" applyFill="1"/>
    <xf numFmtId="0" fontId="0" fillId="0" borderId="0" xfId="0"/>
    <xf numFmtId="0" fontId="3" fillId="0" borderId="0" xfId="0" applyFont="1" applyBorder="1"/>
    <xf numFmtId="0" fontId="27" fillId="0" borderId="9" xfId="0" applyFont="1" applyBorder="1" applyAlignment="1">
      <alignment horizontal="left"/>
    </xf>
    <xf numFmtId="0" fontId="16" fillId="0" borderId="54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56" xfId="0" applyFont="1" applyBorder="1" applyAlignment="1">
      <alignment horizontal="left"/>
    </xf>
    <xf numFmtId="0" fontId="27" fillId="0" borderId="9" xfId="0" applyFont="1" applyFill="1" applyBorder="1" applyAlignment="1">
      <alignment horizontal="left"/>
    </xf>
    <xf numFmtId="4" fontId="27" fillId="0" borderId="0" xfId="0" applyNumberFormat="1" applyFont="1" applyFill="1" applyBorder="1"/>
    <xf numFmtId="3" fontId="27" fillId="0" borderId="0" xfId="0" applyNumberFormat="1" applyFont="1"/>
    <xf numFmtId="3" fontId="27" fillId="0" borderId="20" xfId="0" applyNumberFormat="1" applyFont="1" applyBorder="1"/>
    <xf numFmtId="3" fontId="27" fillId="0" borderId="55" xfId="0" applyNumberFormat="1" applyFont="1" applyBorder="1"/>
    <xf numFmtId="3" fontId="27" fillId="0" borderId="10" xfId="0" applyNumberFormat="1" applyFont="1" applyBorder="1"/>
    <xf numFmtId="3" fontId="27" fillId="0" borderId="57" xfId="0" applyNumberFormat="1" applyFont="1" applyBorder="1"/>
    <xf numFmtId="0" fontId="27" fillId="0" borderId="0" xfId="0" applyFont="1"/>
    <xf numFmtId="3" fontId="40" fillId="0" borderId="10" xfId="0" applyNumberFormat="1" applyFont="1" applyBorder="1"/>
    <xf numFmtId="3" fontId="40" fillId="0" borderId="0" xfId="0" applyNumberFormat="1" applyFont="1"/>
    <xf numFmtId="0" fontId="14" fillId="11" borderId="0" xfId="0" applyFont="1" applyFill="1" applyAlignment="1">
      <alignment vertical="top"/>
    </xf>
    <xf numFmtId="0" fontId="14" fillId="11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8" fillId="0" borderId="0" xfId="0" applyFont="1" applyFill="1" applyBorder="1" applyAlignment="1">
      <alignment horizontal="left" wrapText="1" indent="1"/>
    </xf>
    <xf numFmtId="0" fontId="27" fillId="0" borderId="0" xfId="0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4" fontId="13" fillId="7" borderId="3" xfId="0" applyNumberFormat="1" applyFont="1" applyFill="1" applyBorder="1"/>
    <xf numFmtId="3" fontId="14" fillId="26" borderId="12" xfId="0" applyNumberFormat="1" applyFont="1" applyFill="1" applyBorder="1"/>
    <xf numFmtId="3" fontId="14" fillId="0" borderId="3" xfId="2" applyNumberFormat="1" applyFont="1" applyBorder="1" applyAlignment="1"/>
    <xf numFmtId="3" fontId="27" fillId="19" borderId="0" xfId="0" applyNumberFormat="1" applyFont="1" applyFill="1"/>
    <xf numFmtId="3" fontId="27" fillId="0" borderId="0" xfId="0" applyNumberFormat="1" applyFont="1" applyFill="1" applyBorder="1"/>
    <xf numFmtId="3" fontId="16" fillId="12" borderId="15" xfId="0" applyNumberFormat="1" applyFont="1" applyFill="1" applyBorder="1"/>
    <xf numFmtId="3" fontId="14" fillId="19" borderId="3" xfId="0" applyNumberFormat="1" applyFont="1" applyFill="1" applyBorder="1" applyAlignment="1">
      <alignment horizontal="center"/>
    </xf>
    <xf numFmtId="0" fontId="79" fillId="0" borderId="0" xfId="0" applyFont="1"/>
    <xf numFmtId="0" fontId="3" fillId="0" borderId="9" xfId="0" applyNumberFormat="1" applyFont="1" applyFill="1" applyBorder="1" applyAlignment="1"/>
    <xf numFmtId="49" fontId="3" fillId="0" borderId="13" xfId="0" applyNumberFormat="1" applyFont="1" applyBorder="1"/>
    <xf numFmtId="0" fontId="14" fillId="0" borderId="0" xfId="0" applyFont="1" applyFill="1" applyBorder="1" applyAlignment="1"/>
    <xf numFmtId="0" fontId="14" fillId="0" borderId="9" xfId="0" applyFont="1" applyFill="1" applyBorder="1" applyAlignment="1"/>
    <xf numFmtId="0" fontId="21" fillId="0" borderId="0" xfId="0" applyFont="1" applyFill="1" applyBorder="1" applyAlignment="1"/>
    <xf numFmtId="0" fontId="21" fillId="0" borderId="0" xfId="0" applyFont="1" applyAlignment="1">
      <alignment horizontal="left"/>
    </xf>
    <xf numFmtId="0" fontId="16" fillId="0" borderId="0" xfId="0" applyNumberFormat="1" applyFont="1" applyAlignment="1">
      <alignment horizontal="right"/>
    </xf>
    <xf numFmtId="0" fontId="80" fillId="0" borderId="0" xfId="0" applyFont="1"/>
    <xf numFmtId="0" fontId="81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4" fontId="15" fillId="0" borderId="0" xfId="0" applyNumberFormat="1" applyFont="1" applyFill="1"/>
    <xf numFmtId="0" fontId="63" fillId="0" borderId="0" xfId="0" applyFont="1" applyFill="1"/>
    <xf numFmtId="0" fontId="83" fillId="0" borderId="0" xfId="0" applyFont="1"/>
    <xf numFmtId="4" fontId="1" fillId="0" borderId="0" xfId="0" applyNumberFormat="1" applyFont="1" applyFill="1"/>
    <xf numFmtId="10" fontId="1" fillId="0" borderId="0" xfId="1" applyNumberFormat="1" applyFont="1" applyFill="1" applyAlignment="1">
      <alignment horizontal="center"/>
    </xf>
    <xf numFmtId="0" fontId="13" fillId="0" borderId="7" xfId="0" applyFont="1" applyFill="1" applyBorder="1" applyAlignment="1">
      <alignment horizontal="center"/>
    </xf>
    <xf numFmtId="4" fontId="15" fillId="0" borderId="3" xfId="0" applyNumberFormat="1" applyFont="1" applyFill="1" applyBorder="1" applyAlignment="1"/>
    <xf numFmtId="3" fontId="84" fillId="0" borderId="0" xfId="0" applyNumberFormat="1" applyFont="1"/>
    <xf numFmtId="0" fontId="16" fillId="0" borderId="0" xfId="0" applyFont="1" applyFill="1" applyBorder="1"/>
    <xf numFmtId="0" fontId="74" fillId="0" borderId="0" xfId="0" applyFont="1" applyFill="1"/>
    <xf numFmtId="4" fontId="86" fillId="0" borderId="23" xfId="0" applyNumberFormat="1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/>
    </xf>
    <xf numFmtId="10" fontId="10" fillId="0" borderId="37" xfId="0" applyNumberFormat="1" applyFont="1" applyFill="1" applyBorder="1" applyAlignment="1">
      <alignment horizontal="center"/>
    </xf>
    <xf numFmtId="0" fontId="88" fillId="0" borderId="0" xfId="14"/>
    <xf numFmtId="0" fontId="1" fillId="0" borderId="3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3" fontId="3" fillId="0" borderId="0" xfId="16" applyNumberFormat="1" applyFont="1"/>
    <xf numFmtId="0" fontId="1" fillId="27" borderId="15" xfId="14" applyFont="1" applyFill="1" applyBorder="1" applyAlignment="1">
      <alignment horizontal="right"/>
    </xf>
    <xf numFmtId="3" fontId="1" fillId="0" borderId="7" xfId="16" applyNumberFormat="1" applyFont="1" applyBorder="1"/>
    <xf numFmtId="3" fontId="1" fillId="0" borderId="14" xfId="16" applyNumberFormat="1" applyFont="1" applyBorder="1"/>
    <xf numFmtId="3" fontId="3" fillId="27" borderId="3" xfId="16" applyNumberFormat="1" applyFont="1" applyFill="1" applyBorder="1"/>
    <xf numFmtId="0" fontId="1" fillId="27" borderId="0" xfId="14" applyFont="1" applyFill="1" applyBorder="1" applyAlignment="1">
      <alignment horizontal="right"/>
    </xf>
    <xf numFmtId="3" fontId="1" fillId="29" borderId="7" xfId="0" applyNumberFormat="1" applyFont="1" applyFill="1" applyBorder="1" applyAlignment="1">
      <alignment horizontal="center" wrapText="1"/>
    </xf>
    <xf numFmtId="0" fontId="1" fillId="24" borderId="3" xfId="0" applyFont="1" applyFill="1" applyBorder="1" applyAlignment="1">
      <alignment horizontal="center"/>
    </xf>
    <xf numFmtId="3" fontId="1" fillId="24" borderId="3" xfId="0" applyNumberFormat="1" applyFont="1" applyFill="1" applyBorder="1" applyAlignment="1">
      <alignment horizontal="center" wrapText="1"/>
    </xf>
    <xf numFmtId="3" fontId="1" fillId="24" borderId="15" xfId="0" applyNumberFormat="1" applyFont="1" applyFill="1" applyBorder="1" applyAlignment="1">
      <alignment horizontal="center" wrapText="1"/>
    </xf>
    <xf numFmtId="3" fontId="3" fillId="0" borderId="0" xfId="34" applyNumberFormat="1" applyFont="1"/>
    <xf numFmtId="3" fontId="1" fillId="0" borderId="7" xfId="34" applyNumberFormat="1" applyFont="1" applyBorder="1"/>
    <xf numFmtId="3" fontId="1" fillId="0" borderId="14" xfId="34" applyNumberFormat="1" applyFont="1" applyBorder="1"/>
    <xf numFmtId="3" fontId="3" fillId="27" borderId="3" xfId="14" applyNumberFormat="1" applyFont="1" applyFill="1" applyBorder="1"/>
    <xf numFmtId="3" fontId="3" fillId="0" borderId="0" xfId="34" applyNumberFormat="1" applyFont="1"/>
    <xf numFmtId="3" fontId="1" fillId="0" borderId="4" xfId="34" applyNumberFormat="1" applyFont="1" applyBorder="1"/>
    <xf numFmtId="3" fontId="1" fillId="0" borderId="11" xfId="34" applyNumberFormat="1" applyFont="1" applyBorder="1"/>
    <xf numFmtId="3" fontId="3" fillId="27" borderId="3" xfId="34" applyNumberFormat="1" applyFont="1" applyFill="1" applyBorder="1"/>
    <xf numFmtId="3" fontId="3" fillId="0" borderId="3" xfId="34" applyNumberFormat="1" applyFont="1" applyBorder="1"/>
    <xf numFmtId="3" fontId="3" fillId="0" borderId="7" xfId="34" applyNumberFormat="1" applyFont="1" applyBorder="1"/>
    <xf numFmtId="3" fontId="1" fillId="0" borderId="16" xfId="34" applyNumberFormat="1" applyFont="1" applyBorder="1"/>
    <xf numFmtId="3" fontId="1" fillId="0" borderId="62" xfId="34" applyNumberFormat="1" applyFont="1" applyBorder="1"/>
    <xf numFmtId="3" fontId="3" fillId="27" borderId="3" xfId="34" applyNumberFormat="1" applyFont="1" applyFill="1" applyBorder="1"/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33" fillId="0" borderId="1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3" fontId="3" fillId="0" borderId="26" xfId="0" applyNumberFormat="1" applyFont="1" applyBorder="1" applyAlignment="1">
      <alignment horizontal="right"/>
    </xf>
    <xf numFmtId="3" fontId="3" fillId="0" borderId="64" xfId="0" applyNumberFormat="1" applyFont="1" applyBorder="1" applyAlignment="1">
      <alignment horizontal="right"/>
    </xf>
    <xf numFmtId="3" fontId="33" fillId="0" borderId="64" xfId="0" applyNumberFormat="1" applyFont="1" applyBorder="1" applyAlignment="1">
      <alignment horizontal="right"/>
    </xf>
    <xf numFmtId="3" fontId="3" fillId="0" borderId="65" xfId="0" applyNumberFormat="1" applyFont="1" applyBorder="1" applyAlignment="1">
      <alignment horizontal="right"/>
    </xf>
    <xf numFmtId="0" fontId="33" fillId="0" borderId="24" xfId="0" applyFont="1" applyBorder="1" applyAlignment="1">
      <alignment horizontal="center"/>
    </xf>
    <xf numFmtId="3" fontId="32" fillId="0" borderId="19" xfId="0" applyNumberFormat="1" applyFont="1" applyBorder="1" applyAlignment="1">
      <alignment horizontal="right"/>
    </xf>
    <xf numFmtId="3" fontId="32" fillId="0" borderId="15" xfId="0" applyNumberFormat="1" applyFont="1" applyBorder="1" applyAlignment="1">
      <alignment horizontal="right"/>
    </xf>
    <xf numFmtId="3" fontId="32" fillId="0" borderId="2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5" fillId="0" borderId="21" xfId="0" applyNumberFormat="1" applyFont="1" applyBorder="1" applyAlignment="1">
      <alignment horizontal="right"/>
    </xf>
    <xf numFmtId="3" fontId="5" fillId="0" borderId="2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6" fontId="5" fillId="0" borderId="27" xfId="0" applyNumberFormat="1" applyFont="1" applyBorder="1" applyAlignment="1">
      <alignment horizontal="right"/>
    </xf>
    <xf numFmtId="166" fontId="5" fillId="0" borderId="22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3" fontId="3" fillId="0" borderId="0" xfId="0" applyNumberFormat="1" applyFont="1" applyBorder="1"/>
    <xf numFmtId="3" fontId="40" fillId="0" borderId="0" xfId="0" applyNumberFormat="1" applyFont="1" applyFill="1" applyBorder="1"/>
    <xf numFmtId="3" fontId="40" fillId="19" borderId="0" xfId="0" applyNumberFormat="1" applyFont="1" applyFill="1"/>
    <xf numFmtId="0" fontId="0" fillId="0" borderId="0" xfId="0"/>
    <xf numFmtId="4" fontId="3" fillId="27" borderId="3" xfId="0" applyNumberFormat="1" applyFont="1" applyFill="1" applyBorder="1"/>
    <xf numFmtId="0" fontId="69" fillId="0" borderId="0" xfId="0" applyFont="1"/>
    <xf numFmtId="4" fontId="3" fillId="27" borderId="3" xfId="0" applyNumberFormat="1" applyFont="1" applyFill="1" applyBorder="1" applyAlignment="1">
      <alignment wrapText="1"/>
    </xf>
    <xf numFmtId="0" fontId="27" fillId="0" borderId="0" xfId="0" applyFont="1"/>
    <xf numFmtId="0" fontId="14" fillId="0" borderId="12" xfId="0" applyFont="1" applyFill="1" applyBorder="1" applyAlignment="1">
      <alignment horizontal="right" vertical="top"/>
    </xf>
    <xf numFmtId="4" fontId="14" fillId="0" borderId="0" xfId="0" applyNumberFormat="1" applyFont="1" applyFill="1" applyAlignment="1">
      <alignment horizontal="left"/>
    </xf>
    <xf numFmtId="4" fontId="14" fillId="0" borderId="12" xfId="0" applyNumberFormat="1" applyFont="1" applyFill="1" applyBorder="1" applyAlignment="1">
      <alignment horizontal="left"/>
    </xf>
    <xf numFmtId="4" fontId="27" fillId="0" borderId="0" xfId="0" applyNumberFormat="1" applyFont="1"/>
    <xf numFmtId="4" fontId="27" fillId="0" borderId="28" xfId="0" applyNumberFormat="1" applyFont="1" applyBorder="1"/>
    <xf numFmtId="0" fontId="52" fillId="0" borderId="0" xfId="0" applyFont="1"/>
    <xf numFmtId="0" fontId="90" fillId="0" borderId="0" xfId="0" applyFont="1"/>
    <xf numFmtId="0" fontId="72" fillId="0" borderId="0" xfId="0" applyFont="1"/>
    <xf numFmtId="3" fontId="27" fillId="0" borderId="0" xfId="0" applyNumberFormat="1" applyFont="1" applyFill="1" applyBorder="1"/>
    <xf numFmtId="0" fontId="14" fillId="0" borderId="0" xfId="0" applyFont="1" applyFill="1" applyBorder="1" applyAlignment="1">
      <alignment vertical="center"/>
    </xf>
    <xf numFmtId="0" fontId="3" fillId="0" borderId="0" xfId="0" applyFont="1" applyAlignment="1">
      <alignment horizontal="justify" vertical="justify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3" fillId="0" borderId="0" xfId="0" applyNumberFormat="1" applyFont="1" applyBorder="1" applyAlignment="1">
      <alignment horizontal="right"/>
    </xf>
    <xf numFmtId="0" fontId="70" fillId="0" borderId="0" xfId="0" applyFont="1" applyFill="1"/>
    <xf numFmtId="0" fontId="0" fillId="0" borderId="0" xfId="0"/>
    <xf numFmtId="3" fontId="27" fillId="0" borderId="0" xfId="0" applyNumberFormat="1" applyFont="1"/>
    <xf numFmtId="3" fontId="27" fillId="0" borderId="20" xfId="0" applyNumberFormat="1" applyFont="1" applyBorder="1"/>
    <xf numFmtId="0" fontId="27" fillId="0" borderId="0" xfId="0" applyFont="1"/>
    <xf numFmtId="3" fontId="40" fillId="0" borderId="0" xfId="0" applyNumberFormat="1" applyFont="1"/>
    <xf numFmtId="0" fontId="4" fillId="0" borderId="12" xfId="0" applyFont="1" applyBorder="1"/>
    <xf numFmtId="0" fontId="92" fillId="0" borderId="0" xfId="0" applyFont="1" applyFill="1" applyBorder="1"/>
    <xf numFmtId="0" fontId="92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4" fontId="52" fillId="0" borderId="20" xfId="0" applyNumberFormat="1" applyFont="1" applyBorder="1"/>
    <xf numFmtId="0" fontId="94" fillId="0" borderId="0" xfId="0" applyFont="1"/>
    <xf numFmtId="0" fontId="93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165" fontId="33" fillId="0" borderId="0" xfId="0" applyNumberFormat="1" applyFont="1" applyAlignment="1">
      <alignment horizontal="right"/>
    </xf>
    <xf numFmtId="165" fontId="3" fillId="0" borderId="0" xfId="0" applyNumberFormat="1" applyFont="1"/>
    <xf numFmtId="0" fontId="33" fillId="0" borderId="0" xfId="0" applyFont="1" applyAlignment="1">
      <alignment horizontal="center"/>
    </xf>
    <xf numFmtId="0" fontId="33" fillId="0" borderId="62" xfId="0" applyFont="1" applyBorder="1" applyAlignment="1">
      <alignment horizontal="center" wrapText="1"/>
    </xf>
    <xf numFmtId="165" fontId="3" fillId="0" borderId="59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165" fontId="33" fillId="0" borderId="32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3" fillId="0" borderId="30" xfId="0" applyNumberFormat="1" applyFont="1" applyBorder="1" applyAlignment="1">
      <alignment horizontal="right"/>
    </xf>
    <xf numFmtId="166" fontId="3" fillId="0" borderId="0" xfId="0" applyNumberFormat="1" applyFont="1"/>
    <xf numFmtId="10" fontId="3" fillId="0" borderId="0" xfId="0" applyNumberFormat="1" applyFont="1"/>
    <xf numFmtId="165" fontId="3" fillId="0" borderId="19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33" fillId="0" borderId="15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3" fillId="0" borderId="24" xfId="0" applyNumberFormat="1" applyFont="1" applyBorder="1" applyAlignment="1">
      <alignment horizontal="right"/>
    </xf>
    <xf numFmtId="0" fontId="33" fillId="0" borderId="6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5" fontId="32" fillId="0" borderId="25" xfId="0" applyNumberFormat="1" applyFont="1" applyBorder="1" applyAlignment="1">
      <alignment horizontal="right"/>
    </xf>
    <xf numFmtId="165" fontId="32" fillId="0" borderId="12" xfId="0" applyNumberFormat="1" applyFont="1" applyBorder="1" applyAlignment="1">
      <alignment horizontal="right"/>
    </xf>
    <xf numFmtId="165" fontId="32" fillId="0" borderId="11" xfId="0" applyNumberFormat="1" applyFont="1" applyBorder="1" applyAlignment="1">
      <alignment horizontal="right"/>
    </xf>
    <xf numFmtId="165" fontId="32" fillId="0" borderId="61" xfId="0" applyNumberFormat="1" applyFont="1" applyBorder="1" applyAlignment="1">
      <alignment horizontal="right"/>
    </xf>
    <xf numFmtId="165" fontId="33" fillId="0" borderId="60" xfId="0" applyNumberFormat="1" applyFont="1" applyBorder="1" applyAlignment="1">
      <alignment horizontal="right"/>
    </xf>
    <xf numFmtId="165" fontId="32" fillId="0" borderId="19" xfId="0" applyNumberFormat="1" applyFont="1" applyBorder="1" applyAlignment="1">
      <alignment horizontal="right"/>
    </xf>
    <xf numFmtId="165" fontId="32" fillId="0" borderId="15" xfId="0" applyNumberFormat="1" applyFont="1" applyBorder="1" applyAlignment="1">
      <alignment horizontal="right"/>
    </xf>
    <xf numFmtId="170" fontId="3" fillId="0" borderId="0" xfId="0" applyNumberFormat="1" applyFont="1"/>
    <xf numFmtId="3" fontId="3" fillId="0" borderId="0" xfId="0" applyNumberFormat="1" applyFont="1" applyAlignment="1">
      <alignment horizontal="right"/>
    </xf>
    <xf numFmtId="165" fontId="3" fillId="0" borderId="15" xfId="0" applyNumberFormat="1" applyFont="1" applyBorder="1"/>
    <xf numFmtId="3" fontId="33" fillId="0" borderId="0" xfId="0" applyNumberFormat="1" applyFont="1" applyAlignment="1">
      <alignment horizontal="right"/>
    </xf>
    <xf numFmtId="165" fontId="5" fillId="0" borderId="21" xfId="0" applyNumberFormat="1" applyFont="1" applyBorder="1" applyAlignment="1">
      <alignment horizontal="right"/>
    </xf>
    <xf numFmtId="165" fontId="5" fillId="0" borderId="22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70" fontId="5" fillId="0" borderId="0" xfId="0" applyNumberFormat="1" applyFont="1" applyAlignment="1">
      <alignment horizontal="right"/>
    </xf>
    <xf numFmtId="165" fontId="32" fillId="0" borderId="0" xfId="0" applyNumberFormat="1" applyFont="1" applyAlignment="1">
      <alignment horizontal="right"/>
    </xf>
    <xf numFmtId="0" fontId="3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3" fontId="3" fillId="0" borderId="31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3" fontId="33" fillId="0" borderId="30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29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10" fillId="0" borderId="0" xfId="0" applyNumberFormat="1" applyFont="1"/>
    <xf numFmtId="3" fontId="10" fillId="0" borderId="8" xfId="0" applyNumberFormat="1" applyFont="1" applyBorder="1"/>
    <xf numFmtId="1" fontId="10" fillId="0" borderId="8" xfId="0" applyNumberFormat="1" applyFont="1" applyBorder="1"/>
    <xf numFmtId="3" fontId="32" fillId="0" borderId="0" xfId="0" applyNumberFormat="1" applyFont="1" applyAlignment="1">
      <alignment horizontal="right"/>
    </xf>
    <xf numFmtId="3" fontId="32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27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2" fontId="0" fillId="0" borderId="0" xfId="0" applyNumberFormat="1"/>
    <xf numFmtId="1" fontId="10" fillId="0" borderId="0" xfId="0" applyNumberFormat="1" applyFont="1"/>
    <xf numFmtId="10" fontId="97" fillId="28" borderId="0" xfId="1" applyNumberFormat="1" applyFont="1" applyFill="1"/>
    <xf numFmtId="0" fontId="98" fillId="0" borderId="0" xfId="0" applyFont="1"/>
    <xf numFmtId="0" fontId="27" fillId="0" borderId="0" xfId="0" applyFont="1" applyAlignment="1">
      <alignment horizontal="left" wrapText="1"/>
    </xf>
    <xf numFmtId="0" fontId="99" fillId="0" borderId="0" xfId="0" applyFont="1"/>
    <xf numFmtId="0" fontId="3" fillId="25" borderId="0" xfId="0" applyFont="1" applyFill="1" applyBorder="1" applyAlignment="1">
      <alignment horizontal="center"/>
    </xf>
    <xf numFmtId="0" fontId="15" fillId="19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left" vertical="center" wrapText="1"/>
    </xf>
    <xf numFmtId="0" fontId="100" fillId="0" borderId="0" xfId="0" applyFont="1"/>
    <xf numFmtId="49" fontId="14" fillId="0" borderId="9" xfId="0" applyNumberFormat="1" applyFont="1" applyBorder="1"/>
    <xf numFmtId="0" fontId="3" fillId="0" borderId="12" xfId="0" applyFont="1" applyFill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indent="1"/>
    </xf>
    <xf numFmtId="0" fontId="3" fillId="0" borderId="12" xfId="0" applyFont="1" applyFill="1" applyBorder="1" applyAlignment="1">
      <alignment horizontal="right" indent="1"/>
    </xf>
    <xf numFmtId="0" fontId="83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60" fillId="0" borderId="0" xfId="0" applyFont="1" applyFill="1"/>
    <xf numFmtId="0" fontId="1" fillId="0" borderId="34" xfId="0" applyFont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4" fontId="1" fillId="16" borderId="13" xfId="0" applyNumberFormat="1" applyFont="1" applyFill="1" applyBorder="1"/>
    <xf numFmtId="0" fontId="1" fillId="17" borderId="1" xfId="0" applyFont="1" applyFill="1" applyBorder="1" applyAlignment="1">
      <alignment horizontal="center"/>
    </xf>
    <xf numFmtId="4" fontId="1" fillId="0" borderId="34" xfId="0" applyNumberFormat="1" applyFont="1" applyFill="1" applyBorder="1"/>
    <xf numFmtId="4" fontId="1" fillId="0" borderId="35" xfId="0" applyNumberFormat="1" applyFont="1" applyFill="1" applyBorder="1"/>
    <xf numFmtId="4" fontId="5" fillId="9" borderId="23" xfId="0" applyNumberFormat="1" applyFont="1" applyFill="1" applyBorder="1"/>
    <xf numFmtId="4" fontId="5" fillId="10" borderId="23" xfId="0" applyNumberFormat="1" applyFont="1" applyFill="1" applyBorder="1"/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85" fillId="0" borderId="0" xfId="0" applyFont="1" applyAlignment="1">
      <alignment horizontal="center" wrapText="1"/>
    </xf>
    <xf numFmtId="0" fontId="3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justify" vertical="center" wrapText="1"/>
    </xf>
    <xf numFmtId="0" fontId="34" fillId="0" borderId="0" xfId="0" applyFont="1" applyBorder="1" applyAlignment="1">
      <alignment horizontal="center" wrapText="1"/>
    </xf>
    <xf numFmtId="0" fontId="73" fillId="0" borderId="12" xfId="0" applyFont="1" applyBorder="1" applyAlignment="1">
      <alignment horizontal="left" wrapText="1"/>
    </xf>
    <xf numFmtId="0" fontId="16" fillId="13" borderId="46" xfId="0" applyFont="1" applyFill="1" applyBorder="1" applyAlignment="1">
      <alignment horizontal="center"/>
    </xf>
    <xf numFmtId="0" fontId="85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/>
    </xf>
    <xf numFmtId="0" fontId="38" fillId="12" borderId="0" xfId="0" applyFont="1" applyFill="1" applyAlignment="1">
      <alignment horizontal="center"/>
    </xf>
    <xf numFmtId="0" fontId="38" fillId="9" borderId="0" xfId="0" applyFont="1" applyFill="1" applyAlignment="1">
      <alignment horizontal="center"/>
    </xf>
    <xf numFmtId="0" fontId="27" fillId="0" borderId="0" xfId="0" applyFont="1" applyAlignment="1">
      <alignment horizontal="left" wrapText="1"/>
    </xf>
    <xf numFmtId="0" fontId="38" fillId="10" borderId="0" xfId="0" applyFont="1" applyFill="1" applyAlignment="1">
      <alignment horizontal="center"/>
    </xf>
    <xf numFmtId="0" fontId="38" fillId="11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27" fillId="0" borderId="0" xfId="0" applyFont="1" applyFill="1" applyAlignment="1">
      <alignment horizontal="left" vertical="top" wrapText="1"/>
    </xf>
    <xf numFmtId="4" fontId="14" fillId="7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1" borderId="14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11" borderId="3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60" fillId="0" borderId="0" xfId="0" applyFont="1" applyFill="1" applyAlignment="1">
      <alignment horizontal="left"/>
    </xf>
  </cellXfs>
  <cellStyles count="69">
    <cellStyle name="Čárka 2" xfId="15" xr:uid="{00000000-0005-0000-0000-000000000000}"/>
    <cellStyle name="Měna" xfId="2" builtinId="4"/>
    <cellStyle name="Měna 2" xfId="34" xr:uid="{00000000-0005-0000-0000-000002000000}"/>
    <cellStyle name="Měna 2 2" xfId="52" xr:uid="{00000000-0005-0000-0000-000003000000}"/>
    <cellStyle name="Měna 2 3" xfId="63" xr:uid="{00000000-0005-0000-0000-000004000000}"/>
    <cellStyle name="Měna 2 4" xfId="67" xr:uid="{00000000-0005-0000-0000-000005000000}"/>
    <cellStyle name="Měna 3" xfId="16" xr:uid="{00000000-0005-0000-0000-000006000000}"/>
    <cellStyle name="Měna 3 2" xfId="62" xr:uid="{00000000-0005-0000-0000-000007000000}"/>
    <cellStyle name="Měna 3 3" xfId="66" xr:uid="{00000000-0005-0000-0000-000008000000}"/>
    <cellStyle name="Měna 4" xfId="44" xr:uid="{00000000-0005-0000-0000-000009000000}"/>
    <cellStyle name="Měna 4 2" xfId="64" xr:uid="{00000000-0005-0000-0000-00000A000000}"/>
    <cellStyle name="Měna 4 3" xfId="68" xr:uid="{00000000-0005-0000-0000-00000B000000}"/>
    <cellStyle name="Měna 5" xfId="47" xr:uid="{00000000-0005-0000-0000-00000C000000}"/>
    <cellStyle name="Měna 5 2" xfId="54" xr:uid="{00000000-0005-0000-0000-00000D000000}"/>
    <cellStyle name="Měna 5 3" xfId="65" xr:uid="{00000000-0005-0000-0000-00000E000000}"/>
    <cellStyle name="Normální" xfId="0" builtinId="0"/>
    <cellStyle name="Normální 10" xfId="48" xr:uid="{00000000-0005-0000-0000-000010000000}"/>
    <cellStyle name="normální 14 2 2" xfId="51" xr:uid="{00000000-0005-0000-0000-000011000000}"/>
    <cellStyle name="Normální 2" xfId="3" xr:uid="{00000000-0005-0000-0000-000012000000}"/>
    <cellStyle name="Normální 2 2" xfId="4" xr:uid="{00000000-0005-0000-0000-000013000000}"/>
    <cellStyle name="Normální 2 2 2" xfId="12" xr:uid="{00000000-0005-0000-0000-000014000000}"/>
    <cellStyle name="Normální 2 2 2 2" xfId="33" xr:uid="{00000000-0005-0000-0000-000015000000}"/>
    <cellStyle name="Normální 2 2 3" xfId="43" xr:uid="{00000000-0005-0000-0000-000016000000}"/>
    <cellStyle name="Normální 2 2 4" xfId="28" xr:uid="{00000000-0005-0000-0000-000017000000}"/>
    <cellStyle name="Normální 2 2 5" xfId="56" xr:uid="{00000000-0005-0000-0000-000018000000}"/>
    <cellStyle name="Normální 2 3" xfId="6" xr:uid="{00000000-0005-0000-0000-000019000000}"/>
    <cellStyle name="Normální 2 3 2" xfId="35" xr:uid="{00000000-0005-0000-0000-00001A000000}"/>
    <cellStyle name="Normální 2 4" xfId="17" xr:uid="{00000000-0005-0000-0000-00001B000000}"/>
    <cellStyle name="normální 2 5" xfId="49" xr:uid="{00000000-0005-0000-0000-00001C000000}"/>
    <cellStyle name="Normální 2 5 2" xfId="55" xr:uid="{00000000-0005-0000-0000-00001D000000}"/>
    <cellStyle name="Normální 3" xfId="5" xr:uid="{00000000-0005-0000-0000-00001E000000}"/>
    <cellStyle name="Normální 3 2" xfId="7" xr:uid="{00000000-0005-0000-0000-00001F000000}"/>
    <cellStyle name="Normální 3 2 2" xfId="36" xr:uid="{00000000-0005-0000-0000-000020000000}"/>
    <cellStyle name="Normální 3 3" xfId="18" xr:uid="{00000000-0005-0000-0000-000021000000}"/>
    <cellStyle name="Normální 3 4" xfId="57" xr:uid="{00000000-0005-0000-0000-000022000000}"/>
    <cellStyle name="Normální 4" xfId="8" xr:uid="{00000000-0005-0000-0000-000023000000}"/>
    <cellStyle name="Normální 4 2" xfId="27" xr:uid="{00000000-0005-0000-0000-000024000000}"/>
    <cellStyle name="Normální 4 2 2" xfId="32" xr:uid="{00000000-0005-0000-0000-000025000000}"/>
    <cellStyle name="Normální 4 2 3" xfId="42" xr:uid="{00000000-0005-0000-0000-000026000000}"/>
    <cellStyle name="Normální 4 3" xfId="38" xr:uid="{00000000-0005-0000-0000-000027000000}"/>
    <cellStyle name="Normální 4 4" xfId="23" xr:uid="{00000000-0005-0000-0000-000028000000}"/>
    <cellStyle name="Normální 4 5" xfId="45" xr:uid="{00000000-0005-0000-0000-000029000000}"/>
    <cellStyle name="Normální 4 6" xfId="58" xr:uid="{00000000-0005-0000-0000-00002A000000}"/>
    <cellStyle name="Normální 5" xfId="9" xr:uid="{00000000-0005-0000-0000-00002B000000}"/>
    <cellStyle name="Normální 5 2" xfId="40" xr:uid="{00000000-0005-0000-0000-00002C000000}"/>
    <cellStyle name="Normální 5 3" xfId="25" xr:uid="{00000000-0005-0000-0000-00002D000000}"/>
    <cellStyle name="Normální 5 4" xfId="46" xr:uid="{00000000-0005-0000-0000-00002E000000}"/>
    <cellStyle name="Normální 5 5" xfId="59" xr:uid="{00000000-0005-0000-0000-00002F000000}"/>
    <cellStyle name="Normální 6" xfId="10" xr:uid="{00000000-0005-0000-0000-000030000000}"/>
    <cellStyle name="Normální 6 2" xfId="29" xr:uid="{00000000-0005-0000-0000-000031000000}"/>
    <cellStyle name="Normální 6 3" xfId="60" xr:uid="{00000000-0005-0000-0000-000032000000}"/>
    <cellStyle name="Normální 7" xfId="11" xr:uid="{00000000-0005-0000-0000-000033000000}"/>
    <cellStyle name="Normální 7 2" xfId="30" xr:uid="{00000000-0005-0000-0000-000034000000}"/>
    <cellStyle name="Normální 7 3" xfId="53" xr:uid="{00000000-0005-0000-0000-000035000000}"/>
    <cellStyle name="Normální 8" xfId="13" xr:uid="{00000000-0005-0000-0000-000036000000}"/>
    <cellStyle name="Normální 8 2" xfId="61" xr:uid="{00000000-0005-0000-0000-000037000000}"/>
    <cellStyle name="Normální 9" xfId="14" xr:uid="{00000000-0005-0000-0000-000038000000}"/>
    <cellStyle name="Poznámka 2" xfId="19" xr:uid="{00000000-0005-0000-0000-000039000000}"/>
    <cellStyle name="procent 2" xfId="50" xr:uid="{00000000-0005-0000-0000-00003A000000}"/>
    <cellStyle name="Procenta" xfId="1" builtinId="5"/>
    <cellStyle name="Procenta 2" xfId="21" xr:uid="{00000000-0005-0000-0000-00003C000000}"/>
    <cellStyle name="Procenta 2 2" xfId="37" xr:uid="{00000000-0005-0000-0000-00003D000000}"/>
    <cellStyle name="Procenta 3" xfId="24" xr:uid="{00000000-0005-0000-0000-00003E000000}"/>
    <cellStyle name="Procenta 3 2" xfId="39" xr:uid="{00000000-0005-0000-0000-00003F000000}"/>
    <cellStyle name="Procenta 4" xfId="26" xr:uid="{00000000-0005-0000-0000-000040000000}"/>
    <cellStyle name="Procenta 4 2" xfId="41" xr:uid="{00000000-0005-0000-0000-000041000000}"/>
    <cellStyle name="Procenta 5" xfId="31" xr:uid="{00000000-0005-0000-0000-000042000000}"/>
    <cellStyle name="Procenta 6" xfId="20" xr:uid="{00000000-0005-0000-0000-000043000000}"/>
    <cellStyle name="Špatně 2" xfId="22" xr:uid="{00000000-0005-0000-0000-000044000000}"/>
  </cellStyles>
  <dxfs count="0"/>
  <tableStyles count="0" defaultTableStyle="TableStyleMedium2" defaultPivotStyle="PivotStyleLight16"/>
  <colors>
    <mruColors>
      <color rgb="FFFF00FF"/>
      <color rgb="FF0000FF"/>
      <color rgb="FFFFCCFF"/>
      <color rgb="FFFFCCCC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opLeftCell="A10" workbookViewId="0">
      <selection activeCell="F46" sqref="F46"/>
    </sheetView>
  </sheetViews>
  <sheetFormatPr defaultRowHeight="14.4" x14ac:dyDescent="0.3"/>
  <cols>
    <col min="1" max="1" width="17.6640625" customWidth="1"/>
    <col min="2" max="5" width="14.6640625" customWidth="1"/>
    <col min="6" max="6" width="16.109375" customWidth="1"/>
    <col min="7" max="9" width="14.6640625" customWidth="1"/>
    <col min="10" max="10" width="12.109375" customWidth="1"/>
    <col min="11" max="11" width="16.44140625" customWidth="1"/>
    <col min="16" max="16" width="11.88671875" customWidth="1"/>
  </cols>
  <sheetData>
    <row r="1" spans="1:9" ht="28.8" x14ac:dyDescent="0.55000000000000004">
      <c r="A1" s="745" t="s">
        <v>426</v>
      </c>
      <c r="B1" s="745"/>
      <c r="C1" s="745"/>
      <c r="D1" s="745"/>
      <c r="E1" s="745"/>
      <c r="F1" s="745"/>
      <c r="G1" s="745"/>
      <c r="I1" s="433"/>
    </row>
    <row r="2" spans="1:9" ht="21" x14ac:dyDescent="0.4">
      <c r="A2" s="746" t="s">
        <v>193</v>
      </c>
      <c r="B2" s="746"/>
      <c r="C2" s="746"/>
      <c r="D2" s="746"/>
      <c r="E2" s="746"/>
      <c r="F2" s="746"/>
      <c r="G2" s="746"/>
    </row>
    <row r="3" spans="1:9" ht="18" x14ac:dyDescent="0.35">
      <c r="A3" s="747" t="s">
        <v>194</v>
      </c>
      <c r="B3" s="747"/>
      <c r="C3" s="747"/>
      <c r="D3" s="747"/>
      <c r="E3" s="747"/>
      <c r="F3" s="747"/>
      <c r="G3" s="747"/>
    </row>
    <row r="6" spans="1:9" ht="18" x14ac:dyDescent="0.35">
      <c r="A6" s="344" t="s">
        <v>198</v>
      </c>
    </row>
    <row r="7" spans="1:9" ht="36.6" customHeight="1" x14ac:dyDescent="0.3">
      <c r="A7" s="153"/>
      <c r="B7" s="153">
        <f>'Rozpočet FMIMS'!B4</f>
        <v>106</v>
      </c>
      <c r="C7" s="153" t="str">
        <f>'Rozpočet FMIMS'!C4</f>
        <v>117 (DKRVO)</v>
      </c>
      <c r="D7" s="153" t="str">
        <f>'Rozpočet FMIMS'!D4</f>
        <v>115 (SGS)</v>
      </c>
      <c r="E7" s="153" t="str">
        <f>'Rozpočet FMIMS'!E4</f>
        <v>Režie</v>
      </c>
      <c r="F7" s="153" t="str">
        <f>'Rozpočet FMIMS'!F4</f>
        <v>20%FRIM</v>
      </c>
      <c r="G7" s="154" t="str">
        <f>'Rozpočet FMIMS'!G4</f>
        <v>pracoviště celkem</v>
      </c>
    </row>
    <row r="8" spans="1:9" ht="15.6" x14ac:dyDescent="0.3">
      <c r="A8" s="155" t="str">
        <f>'Rozpočet FMIMS'!A5</f>
        <v>ITE, 7620</v>
      </c>
      <c r="B8" s="317">
        <f>'Rozpočet FMIMS'!B5</f>
        <v>7985014.9415699579</v>
      </c>
      <c r="C8" s="317">
        <f>'Rozpočet FMIMS'!C5</f>
        <v>8533753.6906304322</v>
      </c>
      <c r="D8" s="317">
        <f>'Rozpočet FMIMS'!D5</f>
        <v>138430</v>
      </c>
      <c r="E8" s="317">
        <f>'Rozpočet FMIMS'!E5</f>
        <v>-3714319.3947164062</v>
      </c>
      <c r="F8" s="317">
        <f>'Rozpočet FMIMS'!F5</f>
        <v>-57154</v>
      </c>
      <c r="G8" s="157">
        <f>'Rozpočet FMIMS'!G5</f>
        <v>12747295.237483984</v>
      </c>
    </row>
    <row r="9" spans="1:9" ht="15.6" x14ac:dyDescent="0.3">
      <c r="A9" s="155" t="str">
        <f>'Rozpočet FMIMS'!A6</f>
        <v>MTI, 7630</v>
      </c>
      <c r="B9" s="317">
        <f>'Rozpočet FMIMS'!B6</f>
        <v>20511909.190490272</v>
      </c>
      <c r="C9" s="317">
        <f>'Rozpočet FMIMS'!C6</f>
        <v>9596818.665456444</v>
      </c>
      <c r="D9" s="317">
        <f>'Rozpočet FMIMS'!D6</f>
        <v>703975</v>
      </c>
      <c r="E9" s="317">
        <f>'Rozpočet FMIMS'!E6</f>
        <v>-12010992.339026675</v>
      </c>
      <c r="F9" s="317">
        <f>'Rozpočet FMIMS'!F6</f>
        <v>-244551</v>
      </c>
      <c r="G9" s="157">
        <f>'Rozpočet FMIMS'!G6</f>
        <v>17853184.516920041</v>
      </c>
    </row>
    <row r="10" spans="1:9" ht="15.6" x14ac:dyDescent="0.3">
      <c r="A10" s="155" t="str">
        <f>'Rozpočet FMIMS'!A7</f>
        <v>NTI, 7640</v>
      </c>
      <c r="B10" s="317">
        <f>'Rozpočet FMIMS'!B7</f>
        <v>16160009.116470363</v>
      </c>
      <c r="C10" s="317">
        <f>'Rozpočet FMIMS'!C7</f>
        <v>8781915.9864500239</v>
      </c>
      <c r="D10" s="317">
        <f>'Rozpočet FMIMS'!D7</f>
        <v>3030855</v>
      </c>
      <c r="E10" s="317">
        <f>'Rozpočet FMIMS'!E7</f>
        <v>-6966913.2053076103</v>
      </c>
      <c r="F10" s="317">
        <f>'Rozpočet FMIMS'!F7</f>
        <v>-103862</v>
      </c>
      <c r="G10" s="157">
        <f>'Rozpočet FMIMS'!G7</f>
        <v>17871149.897612777</v>
      </c>
    </row>
    <row r="11" spans="1:9" ht="16.2" thickBot="1" x14ac:dyDescent="0.35">
      <c r="A11" s="155" t="str">
        <f>'Rozpočet FMIMS'!A9</f>
        <v>DFM, 7817</v>
      </c>
      <c r="B11" s="317">
        <f>'Rozpočet FMIMS'!B9</f>
        <v>9636906.9271922223</v>
      </c>
      <c r="C11" s="317">
        <f>'Rozpočet FMIMS'!C9</f>
        <v>250000</v>
      </c>
      <c r="D11" s="317">
        <f>'Rozpočet FMIMS'!D9</f>
        <v>336206</v>
      </c>
      <c r="E11" s="317">
        <f>'Rozpočet FMIMS'!E9</f>
        <v>-112306.60580234909</v>
      </c>
      <c r="F11" s="317">
        <f>'Rozpočet FMIMS'!F9</f>
        <v>-25217</v>
      </c>
      <c r="G11" s="157">
        <f>'Rozpočet FMIMS'!G9</f>
        <v>9749383.3213898726</v>
      </c>
    </row>
    <row r="12" spans="1:9" ht="18" thickBot="1" x14ac:dyDescent="0.35">
      <c r="B12" s="157">
        <f>'Rozpočet FMIMS'!B11</f>
        <v>54293840.175722823</v>
      </c>
      <c r="C12" s="157">
        <f>'Rozpočet FMIMS'!C11</f>
        <v>27162488.3425369</v>
      </c>
      <c r="D12" s="157">
        <f>'Rozpočet FMIMS'!D11</f>
        <v>4209466</v>
      </c>
      <c r="E12" s="157">
        <f>'Rozpočet FMIMS'!E11</f>
        <v>-22804531.544853039</v>
      </c>
      <c r="F12" s="157">
        <f>'Rozpočet FMIMS'!F11</f>
        <v>-430784</v>
      </c>
      <c r="G12" s="159">
        <f>'Rozpočet FMIMS'!G11</f>
        <v>58221012.973406672</v>
      </c>
    </row>
    <row r="13" spans="1:9" ht="29.4" customHeight="1" x14ac:dyDescent="0.3"/>
    <row r="14" spans="1:9" ht="18" hidden="1" x14ac:dyDescent="0.35">
      <c r="A14" s="344" t="s">
        <v>199</v>
      </c>
      <c r="C14" s="86"/>
    </row>
    <row r="15" spans="1:9" ht="15.6" hidden="1" x14ac:dyDescent="0.3">
      <c r="A15" s="153"/>
      <c r="B15" s="153" t="s">
        <v>197</v>
      </c>
      <c r="C15" s="430"/>
    </row>
    <row r="16" spans="1:9" ht="15.6" hidden="1" x14ac:dyDescent="0.3">
      <c r="A16" s="155" t="str">
        <f>A8</f>
        <v>ITE, 7620</v>
      </c>
      <c r="B16" s="317" t="e">
        <f>'Rozpočet FMIMS'!#REF!</f>
        <v>#REF!</v>
      </c>
      <c r="C16" s="431"/>
    </row>
    <row r="17" spans="1:7" ht="15.6" hidden="1" x14ac:dyDescent="0.3">
      <c r="A17" s="155" t="str">
        <f>A9</f>
        <v>MTI, 7630</v>
      </c>
      <c r="B17" s="317" t="e">
        <f>'Rozpočet FMIMS'!#REF!</f>
        <v>#REF!</v>
      </c>
      <c r="C17" s="431"/>
    </row>
    <row r="18" spans="1:7" ht="15.6" hidden="1" x14ac:dyDescent="0.3">
      <c r="A18" s="155" t="str">
        <f>A10</f>
        <v>NTI, 7640</v>
      </c>
      <c r="B18" s="317" t="e">
        <f>'Rozpočet FMIMS'!#REF!</f>
        <v>#REF!</v>
      </c>
      <c r="C18" s="431"/>
    </row>
    <row r="19" spans="1:7" ht="15.6" hidden="1" x14ac:dyDescent="0.3">
      <c r="A19" s="155" t="str">
        <f>A11</f>
        <v>DFM, 7817</v>
      </c>
      <c r="B19" s="317" t="e">
        <f>'Rozpočet FMIMS'!#REF!</f>
        <v>#REF!</v>
      </c>
      <c r="C19" s="431"/>
    </row>
    <row r="20" spans="1:7" ht="15.6" hidden="1" x14ac:dyDescent="0.3">
      <c r="B20" s="157" t="e">
        <f>'Rozpočet FMIMS'!#REF!</f>
        <v>#REF!</v>
      </c>
      <c r="C20" s="432"/>
    </row>
    <row r="21" spans="1:7" ht="25.95" customHeight="1" x14ac:dyDescent="0.3"/>
    <row r="22" spans="1:7" ht="18" x14ac:dyDescent="0.35">
      <c r="A22" s="344" t="s">
        <v>203</v>
      </c>
    </row>
    <row r="23" spans="1:7" ht="31.2" x14ac:dyDescent="0.3">
      <c r="A23" s="153"/>
      <c r="C23" s="153" t="s">
        <v>200</v>
      </c>
      <c r="D23" s="153" t="s">
        <v>201</v>
      </c>
      <c r="E23" s="153" t="s">
        <v>202</v>
      </c>
    </row>
    <row r="24" spans="1:7" ht="15.6" x14ac:dyDescent="0.3">
      <c r="A24" s="155" t="str">
        <f>A16</f>
        <v>ITE, 7620</v>
      </c>
      <c r="B24" s="346"/>
      <c r="C24" s="317">
        <f>Přehled_závěr!F6</f>
        <v>4131520</v>
      </c>
      <c r="D24" s="317">
        <f>Přehled_závěr!G6</f>
        <v>52200</v>
      </c>
      <c r="E24" s="317">
        <f>Přehled_závěr!H6</f>
        <v>2080333.66</v>
      </c>
    </row>
    <row r="25" spans="1:7" ht="15.6" x14ac:dyDescent="0.3">
      <c r="A25" s="155" t="str">
        <f>A17</f>
        <v>MTI, 7630</v>
      </c>
      <c r="B25" s="346"/>
      <c r="C25" s="317">
        <f>Přehled_závěr!F11</f>
        <v>16577209.09</v>
      </c>
      <c r="D25" s="317">
        <f>Přehled_závěr!G11</f>
        <v>6820855.9199999999</v>
      </c>
      <c r="E25" s="317">
        <f>Přehled_závěr!H11</f>
        <v>51750</v>
      </c>
    </row>
    <row r="26" spans="1:7" ht="15.6" x14ac:dyDescent="0.3">
      <c r="A26" s="155" t="str">
        <f>A18</f>
        <v>NTI, 7640</v>
      </c>
      <c r="B26" s="346"/>
      <c r="C26" s="317">
        <f>Přehled_závěr!F16</f>
        <v>26688205.259999998</v>
      </c>
      <c r="D26" s="317">
        <f>Přehled_závěr!G16</f>
        <v>9766572.870000001</v>
      </c>
      <c r="E26" s="317">
        <f>Přehled_závěr!H16</f>
        <v>0</v>
      </c>
    </row>
    <row r="27" spans="1:7" ht="15.6" x14ac:dyDescent="0.3">
      <c r="A27" s="155" t="str">
        <f>A19</f>
        <v>DFM, 7817</v>
      </c>
      <c r="B27" s="346"/>
      <c r="C27" s="317">
        <f>Přehled_závěr!F21</f>
        <v>967096.96</v>
      </c>
      <c r="D27" s="317">
        <f>Přehled_závěr!G21</f>
        <v>358145.14</v>
      </c>
      <c r="E27" s="317">
        <f>Přehled_závěr!H21</f>
        <v>0</v>
      </c>
    </row>
    <row r="28" spans="1:7" ht="27.6" customHeight="1" x14ac:dyDescent="0.3">
      <c r="A28" s="5"/>
    </row>
    <row r="29" spans="1:7" ht="18" x14ac:dyDescent="0.35">
      <c r="A29" s="344" t="s">
        <v>427</v>
      </c>
      <c r="F29" s="185"/>
      <c r="G29" s="185"/>
    </row>
    <row r="30" spans="1:7" ht="45" customHeight="1" x14ac:dyDescent="0.3">
      <c r="A30" s="347"/>
      <c r="B30" s="348" t="s">
        <v>205</v>
      </c>
      <c r="C30" s="348" t="s">
        <v>224</v>
      </c>
      <c r="D30" s="348" t="s">
        <v>201</v>
      </c>
      <c r="E30" s="348" t="s">
        <v>202</v>
      </c>
      <c r="F30" s="348" t="s">
        <v>229</v>
      </c>
      <c r="G30" s="348" t="s">
        <v>230</v>
      </c>
    </row>
    <row r="31" spans="1:7" ht="15.6" x14ac:dyDescent="0.3">
      <c r="A31" s="343" t="str">
        <f>A16</f>
        <v>ITE, 7620</v>
      </c>
      <c r="B31" s="345">
        <f>Hospodaření_106!H25</f>
        <v>3806427.7300000004</v>
      </c>
      <c r="C31" s="345">
        <f>Projekty!F47</f>
        <v>0</v>
      </c>
      <c r="D31" s="345">
        <f>'Doplňková činnost'!D48</f>
        <v>47850.28</v>
      </c>
      <c r="E31" s="345">
        <v>0</v>
      </c>
      <c r="F31" s="345">
        <f>'Rezervní fond'!B16</f>
        <v>18911</v>
      </c>
      <c r="G31" s="345">
        <f>FRIM!C16</f>
        <v>413074.69299999997</v>
      </c>
    </row>
    <row r="32" spans="1:7" ht="15.6" x14ac:dyDescent="0.3">
      <c r="A32" s="343" t="str">
        <f t="shared" ref="A32:A34" si="0">A17</f>
        <v>MTI, 7630</v>
      </c>
      <c r="B32" s="345">
        <f>Hospodaření_106!H46</f>
        <v>9019467.5899999999</v>
      </c>
      <c r="C32" s="345">
        <f>Projekty!F48</f>
        <v>20605.050000000745</v>
      </c>
      <c r="D32" s="345">
        <f>'Doplňková činnost'!D49</f>
        <v>273563.04999999935</v>
      </c>
      <c r="E32" s="345">
        <f>'Ostatní činnost'!H17</f>
        <v>0</v>
      </c>
      <c r="F32" s="345">
        <f>'Rezervní fond'!C16</f>
        <v>309839</v>
      </c>
      <c r="G32" s="345">
        <f>FRIM!D16</f>
        <v>2203257.713</v>
      </c>
    </row>
    <row r="33" spans="1:7" ht="15.6" x14ac:dyDescent="0.3">
      <c r="A33" s="343" t="str">
        <f t="shared" si="0"/>
        <v>NTI, 7640</v>
      </c>
      <c r="B33" s="345">
        <f>Hospodaření_106!H66</f>
        <v>6646029.1699999999</v>
      </c>
      <c r="C33" s="345">
        <f>Projekty!F49</f>
        <v>9618.6999999992549</v>
      </c>
      <c r="D33" s="345">
        <f>'Doplňková činnost'!D50</f>
        <v>361262.62000000011</v>
      </c>
      <c r="E33" s="345">
        <f>'Ostatní činnost'!H18</f>
        <v>0</v>
      </c>
      <c r="F33" s="345">
        <f>'Rezervní fond'!D16</f>
        <v>1147005.32</v>
      </c>
      <c r="G33" s="345">
        <f>FRIM!E16</f>
        <v>4020556.6040000003</v>
      </c>
    </row>
    <row r="34" spans="1:7" ht="15.6" x14ac:dyDescent="0.3">
      <c r="A34" s="343" t="str">
        <f t="shared" si="0"/>
        <v>DFM, 7817</v>
      </c>
      <c r="B34" s="345">
        <f>Hospodaření_106!H88</f>
        <v>10720150.32</v>
      </c>
      <c r="C34" s="539">
        <f>Projekty!F50</f>
        <v>0</v>
      </c>
      <c r="D34" s="345">
        <f>'Doplňková činnost'!D51</f>
        <v>74488.599999999977</v>
      </c>
      <c r="E34" s="345">
        <f>'Ostatní činnost'!H19</f>
        <v>0</v>
      </c>
      <c r="F34" s="345">
        <v>0</v>
      </c>
      <c r="G34" s="345">
        <f>FRIM!B16</f>
        <v>58852.989999999991</v>
      </c>
    </row>
    <row r="35" spans="1:7" x14ac:dyDescent="0.3">
      <c r="B35" s="9"/>
      <c r="C35" s="9"/>
      <c r="D35" s="9"/>
      <c r="E35" s="9"/>
      <c r="F35" s="9"/>
      <c r="G35" s="9"/>
    </row>
    <row r="38" spans="1:7" ht="15.6" x14ac:dyDescent="0.3">
      <c r="A38" s="733" t="s">
        <v>580</v>
      </c>
      <c r="B38" s="185"/>
      <c r="C38" s="185"/>
      <c r="F38" s="349" t="s">
        <v>341</v>
      </c>
    </row>
    <row r="39" spans="1:7" ht="15.6" x14ac:dyDescent="0.3">
      <c r="A39" s="623" t="s">
        <v>581</v>
      </c>
      <c r="F39" s="349" t="s">
        <v>204</v>
      </c>
    </row>
    <row r="42" spans="1:7" ht="15" customHeight="1" x14ac:dyDescent="0.3">
      <c r="A42" s="790" t="s">
        <v>582</v>
      </c>
      <c r="B42" s="790"/>
      <c r="C42" s="790"/>
    </row>
  </sheetData>
  <mergeCells count="4">
    <mergeCell ref="A1:G1"/>
    <mergeCell ref="A2:G2"/>
    <mergeCell ref="A3:G3"/>
    <mergeCell ref="A42:C42"/>
  </mergeCells>
  <pageMargins left="0.31496062992125984" right="0.31496062992125984" top="0.39370078740157483" bottom="0.39370078740157483" header="0.31496062992125984" footer="0.31496062992125984"/>
  <pageSetup paperSize="9" scale="90" orientation="portrait" r:id="rId1"/>
  <headerFooter>
    <oddFooter>&amp;C&amp;A&amp;R&amp;P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7"/>
  <sheetViews>
    <sheetView topLeftCell="A16" zoomScaleNormal="100" workbookViewId="0">
      <selection activeCell="H42" activeCellId="2" sqref="H45 H36 H42"/>
    </sheetView>
  </sheetViews>
  <sheetFormatPr defaultRowHeight="14.4" x14ac:dyDescent="0.3"/>
  <cols>
    <col min="1" max="1" width="17.6640625" style="595" customWidth="1"/>
    <col min="2" max="2" width="10.109375" style="595" customWidth="1"/>
    <col min="3" max="3" width="54.109375" style="595" customWidth="1"/>
    <col min="4" max="7" width="14.6640625" style="595" customWidth="1"/>
    <col min="8" max="8" width="16" style="595" bestFit="1" customWidth="1"/>
    <col min="9" max="9" width="7.44140625" style="595" customWidth="1"/>
    <col min="10" max="10" width="12.109375" style="595" customWidth="1"/>
    <col min="11" max="11" width="16.44140625" style="595" customWidth="1"/>
    <col min="12" max="15" width="8.88671875" style="595"/>
    <col min="16" max="16" width="11.88671875" style="595" customWidth="1"/>
    <col min="17" max="16384" width="8.88671875" style="595"/>
  </cols>
  <sheetData>
    <row r="1" spans="1:13" ht="17.399999999999999" x14ac:dyDescent="0.3">
      <c r="A1" s="447" t="s">
        <v>453</v>
      </c>
      <c r="B1" s="448"/>
      <c r="C1" s="133"/>
      <c r="D1" s="133"/>
      <c r="E1" s="134"/>
      <c r="F1" s="133"/>
      <c r="G1" s="135"/>
      <c r="H1" s="558"/>
      <c r="I1" s="133"/>
    </row>
    <row r="2" spans="1:13" ht="15" customHeight="1" thickBot="1" x14ac:dyDescent="0.45">
      <c r="A2" s="132"/>
      <c r="B2" s="132"/>
      <c r="C2" s="133"/>
      <c r="D2" s="335"/>
      <c r="E2" s="133"/>
      <c r="F2" s="133"/>
      <c r="G2" s="11"/>
      <c r="H2" s="136"/>
      <c r="I2" s="133"/>
      <c r="K2" s="427"/>
      <c r="L2" s="427"/>
      <c r="M2" s="427"/>
    </row>
    <row r="3" spans="1:13" ht="16.2" thickBot="1" x14ac:dyDescent="0.35">
      <c r="A3" s="384" t="s">
        <v>191</v>
      </c>
      <c r="B3" s="385" t="s">
        <v>20</v>
      </c>
      <c r="C3" s="385" t="s">
        <v>21</v>
      </c>
      <c r="D3" s="385" t="s">
        <v>11</v>
      </c>
      <c r="E3" s="385" t="s">
        <v>12</v>
      </c>
      <c r="F3" s="385" t="s">
        <v>13</v>
      </c>
      <c r="G3" s="385" t="s">
        <v>18</v>
      </c>
      <c r="H3" s="385" t="s">
        <v>22</v>
      </c>
      <c r="I3" s="566" t="s">
        <v>23</v>
      </c>
      <c r="K3" s="598"/>
      <c r="L3" s="598"/>
      <c r="M3" s="427"/>
    </row>
    <row r="4" spans="1:13" ht="15.6" x14ac:dyDescent="0.3">
      <c r="A4" s="386">
        <v>1</v>
      </c>
      <c r="B4" s="598">
        <v>511110</v>
      </c>
      <c r="C4" s="387" t="s">
        <v>517</v>
      </c>
      <c r="D4" s="535"/>
      <c r="E4" s="535"/>
      <c r="F4" s="125">
        <v>15004</v>
      </c>
      <c r="G4" s="16"/>
      <c r="H4" s="390">
        <f t="shared" ref="H4:H25" si="0">SUM(D4:G4)</f>
        <v>15004</v>
      </c>
      <c r="I4" s="567">
        <f t="shared" ref="I4:I20" si="1">H4/$H$22</f>
        <v>5.8708555031299059E-4</v>
      </c>
      <c r="K4" s="598"/>
      <c r="L4" s="598"/>
      <c r="M4" s="427"/>
    </row>
    <row r="5" spans="1:13" ht="15.6" x14ac:dyDescent="0.3">
      <c r="A5" s="386">
        <v>2</v>
      </c>
      <c r="B5" s="598">
        <v>512110</v>
      </c>
      <c r="C5" s="387" t="s">
        <v>31</v>
      </c>
      <c r="D5" s="392"/>
      <c r="E5" s="125">
        <v>2604</v>
      </c>
      <c r="F5" s="125">
        <v>148</v>
      </c>
      <c r="G5" s="393"/>
      <c r="H5" s="390">
        <f t="shared" si="0"/>
        <v>2752</v>
      </c>
      <c r="I5" s="568">
        <f t="shared" si="1"/>
        <v>1.0768191378708013E-4</v>
      </c>
      <c r="K5" s="221"/>
      <c r="L5" s="221"/>
      <c r="M5" s="427"/>
    </row>
    <row r="6" spans="1:13" ht="15.6" x14ac:dyDescent="0.3">
      <c r="A6" s="386">
        <v>3</v>
      </c>
      <c r="B6" s="598">
        <v>512130</v>
      </c>
      <c r="C6" s="387" t="s">
        <v>30</v>
      </c>
      <c r="D6" s="394"/>
      <c r="E6" s="125">
        <v>51423.65</v>
      </c>
      <c r="F6" s="125"/>
      <c r="G6" s="395"/>
      <c r="H6" s="390">
        <f t="shared" si="0"/>
        <v>51423.65</v>
      </c>
      <c r="I6" s="568">
        <f t="shared" si="1"/>
        <v>2.0121355544756481E-3</v>
      </c>
      <c r="K6" s="598"/>
      <c r="L6" s="598"/>
      <c r="M6" s="427"/>
    </row>
    <row r="7" spans="1:13" ht="15.6" x14ac:dyDescent="0.3">
      <c r="A7" s="386">
        <v>4</v>
      </c>
      <c r="B7" s="598">
        <v>518110</v>
      </c>
      <c r="C7" s="387" t="s">
        <v>29</v>
      </c>
      <c r="D7" s="125"/>
      <c r="E7" s="125">
        <v>113893.4</v>
      </c>
      <c r="F7" s="125">
        <v>34432.67</v>
      </c>
      <c r="G7" s="395"/>
      <c r="H7" s="390">
        <f t="shared" si="0"/>
        <v>148326.07</v>
      </c>
      <c r="I7" s="568">
        <f t="shared" si="1"/>
        <v>5.8037918176295101E-3</v>
      </c>
      <c r="K7" s="598"/>
      <c r="L7" s="598"/>
      <c r="M7" s="427"/>
    </row>
    <row r="8" spans="1:13" ht="15.6" x14ac:dyDescent="0.3">
      <c r="A8" s="386">
        <v>5</v>
      </c>
      <c r="B8" s="598">
        <v>521110</v>
      </c>
      <c r="C8" s="387" t="s">
        <v>24</v>
      </c>
      <c r="D8" s="535">
        <v>6257020</v>
      </c>
      <c r="E8" s="125">
        <v>4334145</v>
      </c>
      <c r="F8" s="125">
        <v>4534606</v>
      </c>
      <c r="G8" s="395">
        <v>138832</v>
      </c>
      <c r="H8" s="390">
        <f t="shared" si="0"/>
        <v>15264603</v>
      </c>
      <c r="I8" s="568">
        <f t="shared" si="1"/>
        <v>0.59728258148255986</v>
      </c>
      <c r="K8" s="598"/>
      <c r="L8" s="126"/>
      <c r="M8" s="427"/>
    </row>
    <row r="9" spans="1:13" ht="15.6" x14ac:dyDescent="0.3">
      <c r="A9" s="386">
        <v>6</v>
      </c>
      <c r="B9" s="598">
        <v>521115</v>
      </c>
      <c r="C9" s="387" t="s">
        <v>36</v>
      </c>
      <c r="D9" s="394"/>
      <c r="E9" s="16">
        <v>10228</v>
      </c>
      <c r="F9" s="125">
        <v>3225</v>
      </c>
      <c r="G9" s="395"/>
      <c r="H9" s="390">
        <f t="shared" si="0"/>
        <v>13453</v>
      </c>
      <c r="I9" s="568">
        <f t="shared" si="1"/>
        <v>5.2639708800057737E-4</v>
      </c>
      <c r="K9" s="598"/>
      <c r="L9" s="598"/>
      <c r="M9" s="427"/>
    </row>
    <row r="10" spans="1:13" ht="15.6" x14ac:dyDescent="0.3">
      <c r="A10" s="386">
        <v>7</v>
      </c>
      <c r="B10" s="598">
        <v>524110</v>
      </c>
      <c r="C10" s="387" t="s">
        <v>25</v>
      </c>
      <c r="D10" s="394">
        <v>1535678.7</v>
      </c>
      <c r="E10" s="125">
        <v>1052370.81</v>
      </c>
      <c r="F10" s="125">
        <v>1109934.55</v>
      </c>
      <c r="G10" s="395">
        <v>34430.339999999997</v>
      </c>
      <c r="H10" s="390">
        <f t="shared" si="0"/>
        <v>3732414.3999999994</v>
      </c>
      <c r="I10" s="568">
        <f t="shared" si="1"/>
        <v>0.14604415902560186</v>
      </c>
      <c r="K10" s="598"/>
      <c r="L10" s="598"/>
      <c r="M10" s="427"/>
    </row>
    <row r="11" spans="1:13" ht="15.6" x14ac:dyDescent="0.3">
      <c r="A11" s="386">
        <v>8</v>
      </c>
      <c r="B11" s="598">
        <v>524150</v>
      </c>
      <c r="C11" s="387" t="s">
        <v>28</v>
      </c>
      <c r="D11" s="394">
        <v>562833.29</v>
      </c>
      <c r="E11" s="125">
        <v>390069.54</v>
      </c>
      <c r="F11" s="125">
        <v>408112.46</v>
      </c>
      <c r="G11" s="393">
        <v>12495.02</v>
      </c>
      <c r="H11" s="390">
        <f t="shared" si="0"/>
        <v>1373510.31</v>
      </c>
      <c r="I11" s="568">
        <f t="shared" si="1"/>
        <v>5.3743538803446837E-2</v>
      </c>
      <c r="K11" s="598"/>
      <c r="L11" s="598"/>
      <c r="M11" s="427"/>
    </row>
    <row r="12" spans="1:13" ht="15.6" x14ac:dyDescent="0.3">
      <c r="A12" s="386">
        <v>9</v>
      </c>
      <c r="B12" s="598">
        <v>545100</v>
      </c>
      <c r="C12" s="387" t="s">
        <v>38</v>
      </c>
      <c r="D12" s="16"/>
      <c r="E12" s="16">
        <v>373.99</v>
      </c>
      <c r="F12" s="125"/>
      <c r="G12" s="393"/>
      <c r="H12" s="390">
        <f t="shared" si="0"/>
        <v>373.99</v>
      </c>
      <c r="I12" s="568">
        <f t="shared" si="1"/>
        <v>1.4633706009167914E-5</v>
      </c>
      <c r="K12" s="598"/>
      <c r="L12" s="598"/>
      <c r="M12" s="427"/>
    </row>
    <row r="13" spans="1:13" ht="15.6" x14ac:dyDescent="0.3">
      <c r="A13" s="386">
        <v>10</v>
      </c>
      <c r="B13" s="598">
        <v>549135</v>
      </c>
      <c r="C13" s="387" t="s">
        <v>34</v>
      </c>
      <c r="D13" s="394"/>
      <c r="E13" s="16">
        <v>56325.75</v>
      </c>
      <c r="F13" s="125">
        <v>6050</v>
      </c>
      <c r="G13" s="395"/>
      <c r="H13" s="390">
        <f t="shared" si="0"/>
        <v>62375.75</v>
      </c>
      <c r="I13" s="568">
        <f t="shared" si="1"/>
        <v>2.4406759207501682E-3</v>
      </c>
      <c r="K13" s="598"/>
      <c r="L13" s="439"/>
      <c r="M13" s="427"/>
    </row>
    <row r="14" spans="1:13" s="642" customFormat="1" ht="15.6" x14ac:dyDescent="0.3">
      <c r="A14" s="386">
        <v>11</v>
      </c>
      <c r="B14" s="598">
        <v>549144</v>
      </c>
      <c r="C14" s="388" t="s">
        <v>518</v>
      </c>
      <c r="D14" s="394"/>
      <c r="E14" s="16"/>
      <c r="F14" s="125">
        <v>7500</v>
      </c>
      <c r="G14" s="395"/>
      <c r="H14" s="390">
        <f t="shared" si="0"/>
        <v>7500</v>
      </c>
      <c r="I14" s="568">
        <f t="shared" si="1"/>
        <v>2.9346451795170817E-4</v>
      </c>
      <c r="K14" s="598"/>
      <c r="L14" s="439"/>
      <c r="M14" s="427"/>
    </row>
    <row r="15" spans="1:13" ht="15.6" x14ac:dyDescent="0.3">
      <c r="A15" s="386">
        <v>12</v>
      </c>
      <c r="B15" s="598">
        <v>549145</v>
      </c>
      <c r="C15" s="388" t="s">
        <v>516</v>
      </c>
      <c r="D15" s="394"/>
      <c r="E15" s="16">
        <v>28000</v>
      </c>
      <c r="F15" s="16">
        <v>32000</v>
      </c>
      <c r="G15" s="395"/>
      <c r="H15" s="390">
        <f t="shared" si="0"/>
        <v>60000</v>
      </c>
      <c r="I15" s="568">
        <f t="shared" si="1"/>
        <v>2.3477161436136654E-3</v>
      </c>
      <c r="K15" s="598"/>
      <c r="L15" s="598"/>
      <c r="M15" s="427"/>
    </row>
    <row r="16" spans="1:13" ht="15.6" x14ac:dyDescent="0.3">
      <c r="A16" s="386">
        <v>13</v>
      </c>
      <c r="B16" s="598">
        <v>549151</v>
      </c>
      <c r="C16" s="388" t="s">
        <v>27</v>
      </c>
      <c r="D16" s="394"/>
      <c r="E16" s="125"/>
      <c r="F16" s="125">
        <v>271000</v>
      </c>
      <c r="G16" s="395">
        <v>108000</v>
      </c>
      <c r="H16" s="390">
        <f t="shared" si="0"/>
        <v>379000</v>
      </c>
      <c r="I16" s="568">
        <f t="shared" si="1"/>
        <v>1.4829740307159655E-2</v>
      </c>
      <c r="K16" s="598"/>
      <c r="L16" s="598"/>
      <c r="M16" s="427"/>
    </row>
    <row r="17" spans="1:13" ht="15.6" x14ac:dyDescent="0.3">
      <c r="A17" s="386">
        <v>14</v>
      </c>
      <c r="B17" s="598">
        <v>549168</v>
      </c>
      <c r="C17" s="387" t="s">
        <v>208</v>
      </c>
      <c r="D17" s="394">
        <v>62536.76</v>
      </c>
      <c r="E17" s="125">
        <v>43341.45</v>
      </c>
      <c r="F17" s="125">
        <v>45346.06</v>
      </c>
      <c r="G17" s="395">
        <v>1388.32</v>
      </c>
      <c r="H17" s="390">
        <f t="shared" si="0"/>
        <v>152612.59</v>
      </c>
      <c r="I17" s="568">
        <f t="shared" si="1"/>
        <v>5.9715173543615574E-3</v>
      </c>
      <c r="K17" s="598"/>
      <c r="L17" s="598"/>
      <c r="M17" s="427"/>
    </row>
    <row r="18" spans="1:13" ht="15.6" x14ac:dyDescent="0.3">
      <c r="A18" s="386">
        <v>15</v>
      </c>
      <c r="B18" s="598">
        <v>549170</v>
      </c>
      <c r="C18" s="387" t="s">
        <v>213</v>
      </c>
      <c r="D18" s="394"/>
      <c r="E18" s="125">
        <v>252543.73</v>
      </c>
      <c r="F18" s="125"/>
      <c r="G18" s="395"/>
      <c r="H18" s="390">
        <f t="shared" si="0"/>
        <v>252543.73</v>
      </c>
      <c r="I18" s="568">
        <f t="shared" si="1"/>
        <v>9.8816831981568473E-3</v>
      </c>
      <c r="K18" s="598"/>
      <c r="L18" s="598"/>
      <c r="M18" s="427"/>
    </row>
    <row r="19" spans="1:13" ht="15.6" x14ac:dyDescent="0.3">
      <c r="A19" s="386">
        <v>16</v>
      </c>
      <c r="B19" s="598">
        <v>549197</v>
      </c>
      <c r="C19" s="387" t="s">
        <v>211</v>
      </c>
      <c r="D19" s="394"/>
      <c r="E19" s="125">
        <v>533596.17000000004</v>
      </c>
      <c r="F19" s="125">
        <v>670331.27</v>
      </c>
      <c r="G19" s="395"/>
      <c r="H19" s="390">
        <f t="shared" si="0"/>
        <v>1203927.44</v>
      </c>
      <c r="I19" s="568">
        <f t="shared" si="1"/>
        <v>4.7107998110457877E-2</v>
      </c>
      <c r="K19" s="598"/>
      <c r="L19" s="598"/>
      <c r="M19" s="427"/>
    </row>
    <row r="20" spans="1:13" ht="16.2" thickBot="1" x14ac:dyDescent="0.35">
      <c r="A20" s="389">
        <v>17</v>
      </c>
      <c r="B20" s="440">
        <v>549198</v>
      </c>
      <c r="C20" s="441" t="s">
        <v>26</v>
      </c>
      <c r="D20" s="396">
        <v>615374.15</v>
      </c>
      <c r="E20" s="397">
        <v>1420051.47</v>
      </c>
      <c r="F20" s="397">
        <v>738652.45</v>
      </c>
      <c r="G20" s="398">
        <v>62854.32</v>
      </c>
      <c r="H20" s="391">
        <f t="shared" si="0"/>
        <v>2836932.39</v>
      </c>
      <c r="I20" s="568">
        <f t="shared" si="1"/>
        <v>0.11100519950572499</v>
      </c>
      <c r="K20" s="598"/>
      <c r="L20" s="598"/>
      <c r="M20" s="427"/>
    </row>
    <row r="21" spans="1:13" ht="15.6" x14ac:dyDescent="0.3">
      <c r="A21" s="596"/>
      <c r="B21" s="221"/>
      <c r="C21" s="477" t="s">
        <v>515</v>
      </c>
      <c r="D21" s="474">
        <v>8533754</v>
      </c>
      <c r="E21" s="475">
        <v>9596819</v>
      </c>
      <c r="F21" s="475">
        <v>8781916</v>
      </c>
      <c r="G21" s="474">
        <v>250000</v>
      </c>
      <c r="H21" s="476">
        <f>SUM(D21:G21)</f>
        <v>27162489</v>
      </c>
      <c r="I21" s="472"/>
      <c r="K21" s="598"/>
      <c r="L21" s="598"/>
      <c r="M21" s="427"/>
    </row>
    <row r="22" spans="1:13" ht="15.6" x14ac:dyDescent="0.3">
      <c r="A22" s="20"/>
      <c r="B22" s="20"/>
      <c r="C22" s="21" t="s">
        <v>21</v>
      </c>
      <c r="D22" s="116">
        <f>SUM(D4:D20)</f>
        <v>9033442.9000000004</v>
      </c>
      <c r="E22" s="116">
        <f>SUM(E4:E20)</f>
        <v>8288966.96</v>
      </c>
      <c r="F22" s="116">
        <f>SUM(F4:F20)</f>
        <v>7876342.46</v>
      </c>
      <c r="G22" s="116">
        <f>SUM(G4:G20)</f>
        <v>358000</v>
      </c>
      <c r="H22" s="116">
        <f t="shared" si="0"/>
        <v>25556752.32</v>
      </c>
      <c r="I22" s="22"/>
    </row>
    <row r="23" spans="1:13" ht="15.6" x14ac:dyDescent="0.3">
      <c r="A23" s="20"/>
      <c r="B23" s="171"/>
      <c r="C23" s="444" t="s">
        <v>280</v>
      </c>
      <c r="D23" s="6">
        <f>D21+D42</f>
        <v>9033442.9000000004</v>
      </c>
      <c r="E23" s="6">
        <f>E21-E36+E42</f>
        <v>8292580.080000001</v>
      </c>
      <c r="F23" s="6">
        <f>F21-F36+F42</f>
        <v>7876279.21</v>
      </c>
      <c r="G23" s="6">
        <f>G21-G36+G42</f>
        <v>358000</v>
      </c>
      <c r="H23" s="23">
        <f t="shared" si="0"/>
        <v>25560302.190000001</v>
      </c>
      <c r="I23" s="22"/>
    </row>
    <row r="24" spans="1:13" ht="15.6" x14ac:dyDescent="0.3">
      <c r="A24" s="20"/>
      <c r="B24" s="20"/>
      <c r="C24" s="21" t="s">
        <v>219</v>
      </c>
      <c r="D24" s="6">
        <v>0</v>
      </c>
      <c r="E24" s="6">
        <v>-3613.12</v>
      </c>
      <c r="F24" s="6">
        <v>63.25</v>
      </c>
      <c r="G24" s="6">
        <v>0</v>
      </c>
      <c r="H24" s="23">
        <f t="shared" si="0"/>
        <v>-3549.87</v>
      </c>
      <c r="I24" s="22"/>
    </row>
    <row r="25" spans="1:13" ht="15.6" x14ac:dyDescent="0.3">
      <c r="A25" s="20"/>
      <c r="B25" s="20"/>
      <c r="C25" s="21" t="s">
        <v>40</v>
      </c>
      <c r="D25" s="443">
        <f>D23+D24-D22</f>
        <v>0</v>
      </c>
      <c r="E25" s="443">
        <f>E23+E24-E22</f>
        <v>0</v>
      </c>
      <c r="F25" s="443">
        <f>F23+F24-F22</f>
        <v>0</v>
      </c>
      <c r="G25" s="442">
        <f>G23+G24-G22</f>
        <v>0</v>
      </c>
      <c r="H25" s="6">
        <f t="shared" si="0"/>
        <v>0</v>
      </c>
      <c r="I25" s="24"/>
    </row>
    <row r="26" spans="1:13" ht="15.6" x14ac:dyDescent="0.3">
      <c r="A26" s="20"/>
      <c r="B26" s="20"/>
      <c r="C26" s="21" t="s">
        <v>39</v>
      </c>
      <c r="D26" s="25">
        <f>D22/(D23+D24)</f>
        <v>1</v>
      </c>
      <c r="E26" s="25">
        <f>E22/(E23+E24)</f>
        <v>0.99999999999999989</v>
      </c>
      <c r="F26" s="25">
        <f>F22/(F23+F24)</f>
        <v>1</v>
      </c>
      <c r="G26" s="445">
        <f>G22/(G23+G24)</f>
        <v>1</v>
      </c>
      <c r="H26" s="25">
        <f>H22/(H23+H24)</f>
        <v>1</v>
      </c>
      <c r="I26" s="36"/>
    </row>
    <row r="27" spans="1:13" ht="15.6" x14ac:dyDescent="0.3">
      <c r="A27" s="137"/>
      <c r="B27" s="137"/>
      <c r="C27" s="137"/>
      <c r="D27" s="137"/>
      <c r="E27" s="137"/>
      <c r="F27" s="137"/>
      <c r="G27" s="137"/>
      <c r="H27" s="137"/>
      <c r="I27" s="24"/>
    </row>
    <row r="28" spans="1:13" x14ac:dyDescent="0.3">
      <c r="A28" s="10"/>
      <c r="B28" s="10"/>
      <c r="C28" s="10"/>
      <c r="D28" s="10"/>
      <c r="E28" s="10"/>
      <c r="F28" s="471"/>
      <c r="G28" s="471"/>
      <c r="H28" s="471"/>
      <c r="I28" s="446"/>
    </row>
    <row r="29" spans="1:13" ht="15.6" x14ac:dyDescent="0.3">
      <c r="A29" s="10"/>
      <c r="B29" s="10"/>
      <c r="C29" s="27" t="s">
        <v>340</v>
      </c>
      <c r="D29" s="647"/>
      <c r="E29" s="647"/>
      <c r="F29" s="10"/>
      <c r="G29" s="10"/>
      <c r="H29" s="26"/>
      <c r="I29" s="10"/>
    </row>
    <row r="30" spans="1:13" ht="15.6" x14ac:dyDescent="0.3">
      <c r="A30" s="10"/>
      <c r="B30" s="10"/>
      <c r="C30" s="28" t="s">
        <v>519</v>
      </c>
      <c r="D30" s="296"/>
      <c r="E30" s="44">
        <v>73012.3</v>
      </c>
      <c r="F30" s="379"/>
      <c r="G30" s="379"/>
      <c r="H30" s="380">
        <f>SUM(D30:G30)</f>
        <v>73012.3</v>
      </c>
      <c r="I30" s="506"/>
    </row>
    <row r="31" spans="1:13" ht="15.6" x14ac:dyDescent="0.3">
      <c r="A31" s="10"/>
      <c r="B31" s="10"/>
      <c r="C31" s="28" t="s">
        <v>338</v>
      </c>
      <c r="D31" s="296"/>
      <c r="E31" s="44">
        <v>32871</v>
      </c>
      <c r="F31" s="381"/>
      <c r="G31" s="44"/>
      <c r="H31" s="380">
        <f t="shared" ref="H31:H35" si="2">SUM(D31:G31)</f>
        <v>32871</v>
      </c>
      <c r="I31" s="10"/>
    </row>
    <row r="32" spans="1:13" ht="15.6" x14ac:dyDescent="0.3">
      <c r="A32" s="10"/>
      <c r="B32" s="10"/>
      <c r="C32" s="28" t="s">
        <v>520</v>
      </c>
      <c r="D32" s="296"/>
      <c r="E32" s="44">
        <v>215826.07</v>
      </c>
      <c r="F32" s="44"/>
      <c r="G32" s="44"/>
      <c r="H32" s="380">
        <f t="shared" si="2"/>
        <v>215826.07</v>
      </c>
      <c r="I32" s="10"/>
    </row>
    <row r="33" spans="1:11" ht="15.6" x14ac:dyDescent="0.3">
      <c r="A33" s="10"/>
      <c r="B33" s="10"/>
      <c r="C33" s="28" t="s">
        <v>404</v>
      </c>
      <c r="D33" s="296"/>
      <c r="E33" s="44"/>
      <c r="F33" s="381">
        <v>367865.14</v>
      </c>
      <c r="G33" s="44"/>
      <c r="H33" s="380">
        <f t="shared" si="2"/>
        <v>367865.14</v>
      </c>
      <c r="I33" s="10"/>
    </row>
    <row r="34" spans="1:11" ht="15.6" x14ac:dyDescent="0.3">
      <c r="A34" s="10"/>
      <c r="B34" s="10"/>
      <c r="C34" s="28" t="s">
        <v>339</v>
      </c>
      <c r="D34" s="296"/>
      <c r="E34" s="44"/>
      <c r="F34" s="381">
        <v>224475.19</v>
      </c>
      <c r="G34" s="44"/>
      <c r="H34" s="380">
        <f t="shared" si="2"/>
        <v>224475.19</v>
      </c>
      <c r="I34" s="10"/>
    </row>
    <row r="35" spans="1:11" ht="16.2" thickBot="1" x14ac:dyDescent="0.35">
      <c r="A35" s="10"/>
      <c r="B35" s="10"/>
      <c r="C35" s="28" t="s">
        <v>408</v>
      </c>
      <c r="D35" s="296"/>
      <c r="E35" s="44"/>
      <c r="F35" s="381">
        <v>580296.46</v>
      </c>
      <c r="G35" s="44"/>
      <c r="H35" s="380">
        <f t="shared" si="2"/>
        <v>580296.46</v>
      </c>
      <c r="I35" s="10"/>
    </row>
    <row r="36" spans="1:11" ht="16.2" thickBot="1" x14ac:dyDescent="0.35">
      <c r="A36" s="10"/>
      <c r="B36" s="10"/>
      <c r="C36" s="10"/>
      <c r="D36" s="382">
        <f>SUM(D30:D35)</f>
        <v>0</v>
      </c>
      <c r="E36" s="382">
        <f>SUM(E30:E35)</f>
        <v>321709.37</v>
      </c>
      <c r="F36" s="382">
        <f>SUM(F30:F35)</f>
        <v>1172636.79</v>
      </c>
      <c r="G36" s="382">
        <f>SUM(G30:G35)</f>
        <v>0</v>
      </c>
      <c r="H36" s="383">
        <f>SUM(H30:H35)</f>
        <v>1494346.16</v>
      </c>
      <c r="I36" s="10"/>
    </row>
    <row r="37" spans="1:11" ht="15.6" x14ac:dyDescent="0.3">
      <c r="A37" s="10"/>
      <c r="B37" s="10"/>
      <c r="C37" s="10"/>
      <c r="D37" s="34"/>
      <c r="E37" s="34"/>
      <c r="F37" s="34"/>
      <c r="G37" s="34"/>
      <c r="H37" s="34"/>
      <c r="I37" s="10"/>
    </row>
    <row r="38" spans="1:11" ht="15.6" x14ac:dyDescent="0.3">
      <c r="A38" s="10"/>
      <c r="B38" s="10"/>
      <c r="C38" s="10"/>
      <c r="D38" s="34"/>
      <c r="E38" s="34"/>
      <c r="F38" s="34"/>
      <c r="G38" s="34"/>
      <c r="H38" s="34"/>
      <c r="I38" s="10"/>
    </row>
    <row r="39" spans="1:11" ht="15.6" x14ac:dyDescent="0.3">
      <c r="A39" s="10"/>
      <c r="B39" s="10"/>
      <c r="C39" s="27" t="s">
        <v>311</v>
      </c>
      <c r="D39" s="10"/>
      <c r="E39" s="10"/>
      <c r="F39" s="10"/>
      <c r="G39" s="10"/>
      <c r="H39" s="26"/>
      <c r="I39" s="10"/>
    </row>
    <row r="40" spans="1:11" ht="15.6" x14ac:dyDescent="0.3">
      <c r="A40" s="10"/>
      <c r="B40" s="10"/>
      <c r="C40" s="536" t="s">
        <v>312</v>
      </c>
      <c r="D40" s="29">
        <f>500000-311.1</f>
        <v>499688.9</v>
      </c>
      <c r="E40" s="35">
        <f>311.1+2159.35+15000-1000000</f>
        <v>-982529.55</v>
      </c>
      <c r="F40" s="35">
        <f>500000-198000-35000</f>
        <v>267000</v>
      </c>
      <c r="G40" s="35">
        <v>108000</v>
      </c>
      <c r="H40" s="13">
        <f>SUM(D40:G40)</f>
        <v>-107840.65000000002</v>
      </c>
      <c r="I40" s="10"/>
    </row>
    <row r="41" spans="1:11" ht="16.2" thickBot="1" x14ac:dyDescent="0.35">
      <c r="A41" s="10"/>
      <c r="B41" s="10"/>
      <c r="C41" s="536" t="s">
        <v>514</v>
      </c>
      <c r="D41" s="31"/>
      <c r="E41" s="30"/>
      <c r="F41" s="16"/>
      <c r="G41" s="30"/>
      <c r="H41" s="15">
        <f>SUM(D41:G41)</f>
        <v>0</v>
      </c>
      <c r="I41" s="10"/>
    </row>
    <row r="42" spans="1:11" ht="16.2" thickBot="1" x14ac:dyDescent="0.35">
      <c r="A42" s="10"/>
      <c r="B42" s="10"/>
      <c r="C42" s="536" t="s">
        <v>313</v>
      </c>
      <c r="D42" s="6">
        <f>SUM(D40:D41)</f>
        <v>499688.9</v>
      </c>
      <c r="E42" s="6">
        <f>SUM(E40:E41)</f>
        <v>-982529.55</v>
      </c>
      <c r="F42" s="6">
        <f>SUM(F40:F41)</f>
        <v>267000</v>
      </c>
      <c r="G42" s="32">
        <f>SUM(G40:G41)</f>
        <v>108000</v>
      </c>
      <c r="H42" s="473">
        <f>SUM(H40:H41)</f>
        <v>-107840.65000000002</v>
      </c>
      <c r="I42" s="10"/>
    </row>
    <row r="43" spans="1:11" ht="15.6" x14ac:dyDescent="0.3">
      <c r="A43" s="10"/>
      <c r="B43" s="10"/>
      <c r="C43" s="10"/>
      <c r="D43" s="34"/>
      <c r="E43" s="34"/>
      <c r="F43" s="34"/>
      <c r="G43" s="34"/>
      <c r="H43" s="34"/>
      <c r="I43" s="10"/>
    </row>
    <row r="44" spans="1:11" ht="15" thickBot="1" x14ac:dyDescent="0.35">
      <c r="A44" s="10"/>
      <c r="B44" s="10"/>
      <c r="C44" s="10"/>
      <c r="D44" s="10"/>
      <c r="E44" s="10"/>
      <c r="F44" s="10"/>
      <c r="G44" s="10"/>
      <c r="H44" s="10"/>
      <c r="I44" s="10"/>
    </row>
    <row r="45" spans="1:11" ht="17.399999999999999" thickBot="1" x14ac:dyDescent="0.35">
      <c r="A45" s="10"/>
      <c r="B45" s="10"/>
      <c r="C45" s="222" t="s">
        <v>281</v>
      </c>
      <c r="D45" s="6">
        <f>D23+D24</f>
        <v>9033442.9000000004</v>
      </c>
      <c r="E45" s="6">
        <f>E23+E24</f>
        <v>8288966.9600000009</v>
      </c>
      <c r="F45" s="6">
        <f>F23+F24</f>
        <v>7876342.46</v>
      </c>
      <c r="G45" s="32">
        <f>G23+G24</f>
        <v>358000</v>
      </c>
      <c r="H45" s="33">
        <f>SUM(D45:G45)</f>
        <v>25556752.32</v>
      </c>
      <c r="I45" s="10"/>
      <c r="K45" s="1"/>
    </row>
    <row r="46" spans="1:11" x14ac:dyDescent="0.3">
      <c r="H46" s="1"/>
    </row>
    <row r="47" spans="1:11" x14ac:dyDescent="0.3">
      <c r="E47" s="1"/>
      <c r="H47" s="1"/>
    </row>
  </sheetData>
  <pageMargins left="0.31496062992125984" right="0.31496062992125984" top="0.39370078740157483" bottom="0.39370078740157483" header="0.31496062992125984" footer="0.31496062992125984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0"/>
  <sheetViews>
    <sheetView topLeftCell="A16" zoomScaleNormal="100" workbookViewId="0">
      <selection activeCell="Q18" sqref="Q18"/>
    </sheetView>
  </sheetViews>
  <sheetFormatPr defaultColWidth="9.109375" defaultRowHeight="15.6" x14ac:dyDescent="0.3"/>
  <cols>
    <col min="1" max="1" width="2.88671875" style="92" customWidth="1"/>
    <col min="2" max="2" width="10.6640625" style="92" customWidth="1"/>
    <col min="3" max="3" width="11.6640625" style="92" customWidth="1"/>
    <col min="4" max="4" width="37.33203125" style="92" customWidth="1"/>
    <col min="5" max="5" width="12.44140625" style="92" customWidth="1"/>
    <col min="6" max="6" width="12.6640625" style="92" bestFit="1" customWidth="1"/>
    <col min="7" max="7" width="14.6640625" style="92" customWidth="1"/>
    <col min="8" max="8" width="12.6640625" style="92" bestFit="1" customWidth="1"/>
    <col min="9" max="9" width="2.5546875" style="92" customWidth="1"/>
    <col min="10" max="10" width="26.33203125" style="92" bestFit="1" customWidth="1"/>
    <col min="11" max="11" width="16.44140625" style="92" customWidth="1"/>
    <col min="12" max="12" width="8.33203125" style="92" bestFit="1" customWidth="1"/>
    <col min="13" max="15" width="9.109375" style="92"/>
    <col min="16" max="16" width="11.88671875" style="92" customWidth="1"/>
    <col min="17" max="16384" width="9.109375" style="92"/>
  </cols>
  <sheetData>
    <row r="1" spans="1:12" s="341" customFormat="1" ht="21.75" customHeight="1" x14ac:dyDescent="0.4">
      <c r="A1" s="310" t="s">
        <v>454</v>
      </c>
      <c r="B1" s="310"/>
      <c r="C1" s="310"/>
      <c r="D1" s="310"/>
      <c r="E1" s="553"/>
      <c r="H1" s="725"/>
    </row>
    <row r="3" spans="1:12" x14ac:dyDescent="0.3">
      <c r="A3" s="92" t="s">
        <v>249</v>
      </c>
    </row>
    <row r="4" spans="1:12" x14ac:dyDescent="0.3">
      <c r="A4" s="92" t="s">
        <v>283</v>
      </c>
    </row>
    <row r="5" spans="1:12" x14ac:dyDescent="0.3">
      <c r="A5" s="92" t="s">
        <v>367</v>
      </c>
    </row>
    <row r="7" spans="1:12" ht="16.2" thickBot="1" x14ac:dyDescent="0.35">
      <c r="A7" s="138" t="s">
        <v>455</v>
      </c>
      <c r="B7" s="138"/>
      <c r="C7" s="138"/>
      <c r="D7" s="138"/>
    </row>
    <row r="8" spans="1:12" ht="16.2" thickTop="1" x14ac:dyDescent="0.3">
      <c r="A8" s="92" t="s">
        <v>456</v>
      </c>
      <c r="C8" s="101"/>
      <c r="D8" s="139">
        <v>4209466</v>
      </c>
      <c r="E8" s="101"/>
      <c r="F8" s="101"/>
    </row>
    <row r="10" spans="1:12" x14ac:dyDescent="0.3">
      <c r="A10" s="223" t="s">
        <v>477</v>
      </c>
      <c r="B10" s="223"/>
      <c r="C10" s="223"/>
      <c r="D10" s="223"/>
      <c r="E10" s="223"/>
      <c r="F10" s="224"/>
      <c r="G10" s="224"/>
      <c r="H10" s="224"/>
      <c r="I10" s="491"/>
      <c r="J10" s="223" t="s">
        <v>282</v>
      </c>
      <c r="K10" s="223"/>
    </row>
    <row r="11" spans="1:12" x14ac:dyDescent="0.3">
      <c r="I11" s="491"/>
    </row>
    <row r="12" spans="1:12" ht="47.4" thickBot="1" x14ac:dyDescent="0.35">
      <c r="A12" s="102"/>
      <c r="B12" s="225" t="s">
        <v>4</v>
      </c>
      <c r="C12" s="270" t="s">
        <v>5</v>
      </c>
      <c r="D12" s="225" t="s">
        <v>6</v>
      </c>
      <c r="E12" s="225" t="s">
        <v>7</v>
      </c>
      <c r="F12" s="226" t="s">
        <v>478</v>
      </c>
      <c r="G12" s="226" t="s">
        <v>479</v>
      </c>
      <c r="H12" s="226" t="s">
        <v>8</v>
      </c>
      <c r="I12" s="492"/>
      <c r="J12" s="270" t="s">
        <v>480</v>
      </c>
      <c r="K12" s="429" t="s">
        <v>481</v>
      </c>
    </row>
    <row r="13" spans="1:12" ht="29.4" thickTop="1" x14ac:dyDescent="0.35">
      <c r="A13" s="198"/>
      <c r="B13" s="528">
        <v>7620</v>
      </c>
      <c r="C13" s="353">
        <v>21570</v>
      </c>
      <c r="D13" s="351" t="s">
        <v>355</v>
      </c>
      <c r="E13" s="554" t="s">
        <v>356</v>
      </c>
      <c r="F13" s="627">
        <v>138430</v>
      </c>
      <c r="G13" s="249">
        <v>800</v>
      </c>
      <c r="H13" s="91">
        <f>F13+G13</f>
        <v>139230</v>
      </c>
      <c r="I13" s="91"/>
      <c r="J13" s="91">
        <v>139230</v>
      </c>
      <c r="K13" s="91">
        <f>H13-J13</f>
        <v>0</v>
      </c>
      <c r="L13" s="494"/>
    </row>
    <row r="14" spans="1:12" ht="58.2" customHeight="1" x14ac:dyDescent="0.35">
      <c r="B14" s="528">
        <v>7630</v>
      </c>
      <c r="C14" s="353">
        <v>21579</v>
      </c>
      <c r="D14" s="719" t="s">
        <v>357</v>
      </c>
      <c r="E14" s="351" t="s">
        <v>358</v>
      </c>
      <c r="F14" s="627">
        <v>204470</v>
      </c>
      <c r="G14" s="91">
        <v>10123.51</v>
      </c>
      <c r="H14" s="91">
        <f t="shared" ref="H14:J34" si="0">F14+G14</f>
        <v>214593.51</v>
      </c>
      <c r="I14" s="91"/>
      <c r="J14" s="91">
        <f t="shared" si="0"/>
        <v>214593.51</v>
      </c>
      <c r="K14" s="91">
        <f t="shared" ref="K14:K30" si="1">H14-J14</f>
        <v>0</v>
      </c>
      <c r="L14" s="494"/>
    </row>
    <row r="15" spans="1:12" ht="28.2" x14ac:dyDescent="0.3">
      <c r="B15" s="358"/>
      <c r="C15" s="353">
        <v>21612</v>
      </c>
      <c r="D15" s="351" t="s">
        <v>488</v>
      </c>
      <c r="E15" s="554" t="s">
        <v>489</v>
      </c>
      <c r="F15" s="627">
        <v>150255</v>
      </c>
      <c r="G15" s="91">
        <v>800</v>
      </c>
      <c r="H15" s="91">
        <f t="shared" si="0"/>
        <v>151055</v>
      </c>
      <c r="I15" s="91"/>
      <c r="J15" s="91">
        <f t="shared" si="0"/>
        <v>151055</v>
      </c>
      <c r="K15" s="91">
        <f t="shared" si="1"/>
        <v>0</v>
      </c>
    </row>
    <row r="16" spans="1:12" ht="42.6" x14ac:dyDescent="0.35">
      <c r="B16" s="358"/>
      <c r="C16" s="353">
        <v>21615</v>
      </c>
      <c r="D16" s="351" t="s">
        <v>493</v>
      </c>
      <c r="E16" s="351" t="s">
        <v>494</v>
      </c>
      <c r="F16" s="627">
        <v>158750</v>
      </c>
      <c r="G16" s="91">
        <f>800+2.63</f>
        <v>802.63</v>
      </c>
      <c r="H16" s="91">
        <f t="shared" si="0"/>
        <v>159552.63</v>
      </c>
      <c r="I16" s="91"/>
      <c r="J16" s="91">
        <f t="shared" si="0"/>
        <v>159552.63</v>
      </c>
      <c r="K16" s="91">
        <f t="shared" si="1"/>
        <v>0</v>
      </c>
      <c r="L16" s="652"/>
    </row>
    <row r="17" spans="2:13" ht="55.8" x14ac:dyDescent="0.3">
      <c r="B17" s="358"/>
      <c r="C17" s="353">
        <v>21620</v>
      </c>
      <c r="D17" s="351" t="s">
        <v>498</v>
      </c>
      <c r="E17" s="351" t="s">
        <v>499</v>
      </c>
      <c r="F17" s="627">
        <v>190500</v>
      </c>
      <c r="G17" s="91">
        <v>800</v>
      </c>
      <c r="H17" s="91">
        <f t="shared" si="0"/>
        <v>191300</v>
      </c>
      <c r="I17" s="91"/>
      <c r="J17" s="91">
        <f t="shared" si="0"/>
        <v>191300</v>
      </c>
      <c r="K17" s="91">
        <f t="shared" si="1"/>
        <v>0</v>
      </c>
      <c r="L17" s="653"/>
    </row>
    <row r="18" spans="2:13" ht="28.2" x14ac:dyDescent="0.3">
      <c r="B18" s="528">
        <v>7640</v>
      </c>
      <c r="C18" s="353">
        <v>21575</v>
      </c>
      <c r="D18" s="351" t="s">
        <v>364</v>
      </c>
      <c r="E18" s="554" t="s">
        <v>361</v>
      </c>
      <c r="F18" s="627">
        <v>322580</v>
      </c>
      <c r="G18" s="91">
        <v>800</v>
      </c>
      <c r="H18" s="91">
        <f t="shared" si="0"/>
        <v>323380</v>
      </c>
      <c r="I18" s="91"/>
      <c r="J18" s="91">
        <f t="shared" si="0"/>
        <v>323380</v>
      </c>
      <c r="K18" s="91">
        <f t="shared" si="1"/>
        <v>0</v>
      </c>
    </row>
    <row r="19" spans="2:13" ht="28.2" x14ac:dyDescent="0.3">
      <c r="B19" s="358"/>
      <c r="C19" s="353">
        <v>21576</v>
      </c>
      <c r="D19" s="351" t="s">
        <v>365</v>
      </c>
      <c r="E19" s="554" t="s">
        <v>362</v>
      </c>
      <c r="F19" s="627">
        <v>104140</v>
      </c>
      <c r="G19" s="91">
        <v>800</v>
      </c>
      <c r="H19" s="91">
        <f t="shared" si="0"/>
        <v>104940</v>
      </c>
      <c r="I19" s="91"/>
      <c r="J19" s="91">
        <f t="shared" si="0"/>
        <v>104940</v>
      </c>
      <c r="K19" s="91">
        <f t="shared" si="1"/>
        <v>0</v>
      </c>
    </row>
    <row r="20" spans="2:13" ht="42" x14ac:dyDescent="0.3">
      <c r="B20" s="358"/>
      <c r="C20" s="722">
        <v>21577</v>
      </c>
      <c r="D20" s="723" t="s">
        <v>366</v>
      </c>
      <c r="E20" s="724" t="s">
        <v>363</v>
      </c>
      <c r="F20" s="627">
        <v>344170</v>
      </c>
      <c r="G20" s="91">
        <f>800+326.48</f>
        <v>1126.48</v>
      </c>
      <c r="H20" s="91">
        <f t="shared" si="0"/>
        <v>345296.48</v>
      </c>
      <c r="I20" s="91"/>
      <c r="J20" s="91">
        <f t="shared" si="0"/>
        <v>345296.48</v>
      </c>
      <c r="K20" s="91">
        <f t="shared" si="1"/>
        <v>0</v>
      </c>
    </row>
    <row r="21" spans="2:13" ht="42" x14ac:dyDescent="0.3">
      <c r="B21" s="358"/>
      <c r="C21" s="353">
        <v>21609</v>
      </c>
      <c r="D21" s="351" t="s">
        <v>482</v>
      </c>
      <c r="E21" s="554" t="s">
        <v>487</v>
      </c>
      <c r="F21" s="627">
        <v>203200</v>
      </c>
      <c r="G21" s="91">
        <v>800</v>
      </c>
      <c r="H21" s="91">
        <f t="shared" si="0"/>
        <v>204000</v>
      </c>
      <c r="I21" s="91"/>
      <c r="J21" s="91">
        <f t="shared" si="0"/>
        <v>204000</v>
      </c>
      <c r="K21" s="91">
        <f t="shared" si="1"/>
        <v>0</v>
      </c>
    </row>
    <row r="22" spans="2:13" ht="42.6" x14ac:dyDescent="0.35">
      <c r="B22" s="358"/>
      <c r="C22" s="353">
        <v>21610</v>
      </c>
      <c r="D22" s="351" t="s">
        <v>483</v>
      </c>
      <c r="E22" s="554" t="s">
        <v>486</v>
      </c>
      <c r="F22" s="627">
        <v>196850</v>
      </c>
      <c r="G22" s="91">
        <v>800</v>
      </c>
      <c r="H22" s="91">
        <f t="shared" si="0"/>
        <v>197650</v>
      </c>
      <c r="I22" s="91"/>
      <c r="J22" s="91">
        <f t="shared" si="0"/>
        <v>197650</v>
      </c>
      <c r="K22" s="91">
        <f t="shared" si="1"/>
        <v>0</v>
      </c>
      <c r="L22" s="494"/>
    </row>
    <row r="23" spans="2:13" ht="28.2" x14ac:dyDescent="0.3">
      <c r="B23" s="358"/>
      <c r="C23" s="353">
        <v>21611</v>
      </c>
      <c r="D23" s="351" t="s">
        <v>484</v>
      </c>
      <c r="E23" s="554" t="s">
        <v>485</v>
      </c>
      <c r="F23" s="627">
        <v>306070</v>
      </c>
      <c r="G23" s="91">
        <f>800+4.83</f>
        <v>804.83</v>
      </c>
      <c r="H23" s="91">
        <f t="shared" si="0"/>
        <v>306874.83</v>
      </c>
      <c r="I23" s="91"/>
      <c r="J23" s="91">
        <f t="shared" si="0"/>
        <v>306874.83</v>
      </c>
      <c r="K23" s="91">
        <f t="shared" si="1"/>
        <v>0</v>
      </c>
    </row>
    <row r="24" spans="2:13" ht="42" x14ac:dyDescent="0.3">
      <c r="B24" s="358"/>
      <c r="C24" s="353">
        <v>21613</v>
      </c>
      <c r="D24" s="351" t="s">
        <v>490</v>
      </c>
      <c r="E24" s="554" t="s">
        <v>491</v>
      </c>
      <c r="F24" s="627">
        <v>181610</v>
      </c>
      <c r="G24" s="91">
        <v>800</v>
      </c>
      <c r="H24" s="91">
        <f t="shared" si="0"/>
        <v>182410</v>
      </c>
      <c r="I24" s="91"/>
      <c r="J24" s="91">
        <f t="shared" si="0"/>
        <v>182410</v>
      </c>
      <c r="K24" s="91">
        <f t="shared" si="1"/>
        <v>0</v>
      </c>
    </row>
    <row r="25" spans="2:13" ht="28.2" x14ac:dyDescent="0.3">
      <c r="B25" s="358"/>
      <c r="C25" s="353">
        <v>21614</v>
      </c>
      <c r="D25" s="351" t="s">
        <v>492</v>
      </c>
      <c r="E25" s="554" t="s">
        <v>359</v>
      </c>
      <c r="F25" s="627">
        <v>222250</v>
      </c>
      <c r="G25" s="91">
        <v>800</v>
      </c>
      <c r="H25" s="91">
        <f t="shared" si="0"/>
        <v>223050</v>
      </c>
      <c r="I25" s="91"/>
      <c r="J25" s="91">
        <f t="shared" si="0"/>
        <v>223050</v>
      </c>
      <c r="K25" s="91">
        <f t="shared" si="1"/>
        <v>0</v>
      </c>
    </row>
    <row r="26" spans="2:13" ht="28.2" x14ac:dyDescent="0.3">
      <c r="B26" s="358"/>
      <c r="C26" s="353">
        <v>21616</v>
      </c>
      <c r="D26" s="351" t="s">
        <v>495</v>
      </c>
      <c r="E26" s="554" t="s">
        <v>360</v>
      </c>
      <c r="F26" s="627">
        <v>247650</v>
      </c>
      <c r="G26" s="91">
        <v>800</v>
      </c>
      <c r="H26" s="91">
        <f t="shared" si="0"/>
        <v>248450</v>
      </c>
      <c r="I26" s="91"/>
      <c r="J26" s="91">
        <f t="shared" si="0"/>
        <v>248450</v>
      </c>
      <c r="K26" s="91">
        <f t="shared" si="1"/>
        <v>0</v>
      </c>
    </row>
    <row r="27" spans="2:13" ht="42.6" x14ac:dyDescent="0.35">
      <c r="B27" s="358"/>
      <c r="C27" s="353">
        <v>21619</v>
      </c>
      <c r="D27" s="351" t="s">
        <v>496</v>
      </c>
      <c r="E27" s="554" t="s">
        <v>497</v>
      </c>
      <c r="F27" s="627">
        <v>190500</v>
      </c>
      <c r="G27" s="91">
        <f>800+73.95</f>
        <v>873.95</v>
      </c>
      <c r="H27" s="91">
        <f t="shared" si="0"/>
        <v>191373.95</v>
      </c>
      <c r="I27" s="91"/>
      <c r="J27" s="91">
        <f t="shared" si="0"/>
        <v>191373.95</v>
      </c>
      <c r="K27" s="91">
        <f t="shared" si="1"/>
        <v>0</v>
      </c>
      <c r="L27" s="494"/>
    </row>
    <row r="28" spans="2:13" ht="28.8" x14ac:dyDescent="0.35">
      <c r="B28" s="358"/>
      <c r="C28" s="353">
        <v>21621</v>
      </c>
      <c r="D28" s="351" t="s">
        <v>500</v>
      </c>
      <c r="E28" s="554" t="s">
        <v>505</v>
      </c>
      <c r="F28" s="627">
        <v>215900</v>
      </c>
      <c r="G28" s="91">
        <v>800</v>
      </c>
      <c r="H28" s="91">
        <f t="shared" ref="H28:J29" si="2">F28+G28</f>
        <v>216700</v>
      </c>
      <c r="I28" s="91"/>
      <c r="J28" s="91">
        <f t="shared" si="2"/>
        <v>216700</v>
      </c>
      <c r="K28" s="91">
        <f t="shared" si="1"/>
        <v>0</v>
      </c>
      <c r="L28" s="494"/>
    </row>
    <row r="29" spans="2:13" ht="28.8" x14ac:dyDescent="0.35">
      <c r="B29" s="358"/>
      <c r="C29" s="353">
        <v>21622</v>
      </c>
      <c r="D29" s="351" t="s">
        <v>501</v>
      </c>
      <c r="E29" s="554" t="s">
        <v>504</v>
      </c>
      <c r="F29" s="627">
        <v>215900</v>
      </c>
      <c r="G29" s="91">
        <f>800+54.3</f>
        <v>854.3</v>
      </c>
      <c r="H29" s="91">
        <f t="shared" si="2"/>
        <v>216754.3</v>
      </c>
      <c r="I29" s="91"/>
      <c r="J29" s="91">
        <f t="shared" si="2"/>
        <v>216754.3</v>
      </c>
      <c r="K29" s="91">
        <f t="shared" si="1"/>
        <v>0</v>
      </c>
      <c r="L29" s="494"/>
    </row>
    <row r="30" spans="2:13" ht="41.4" x14ac:dyDescent="0.3">
      <c r="B30" s="626"/>
      <c r="C30" s="354">
        <v>21623</v>
      </c>
      <c r="D30" s="352" t="s">
        <v>502</v>
      </c>
      <c r="E30" s="555" t="s">
        <v>503</v>
      </c>
      <c r="F30" s="628">
        <v>280035</v>
      </c>
      <c r="G30" s="140">
        <v>800</v>
      </c>
      <c r="H30" s="140">
        <f t="shared" si="0"/>
        <v>280835</v>
      </c>
      <c r="I30" s="140"/>
      <c r="J30" s="140">
        <f t="shared" si="0"/>
        <v>280835</v>
      </c>
      <c r="K30" s="140">
        <f t="shared" si="1"/>
        <v>0</v>
      </c>
    </row>
    <row r="31" spans="2:13" x14ac:dyDescent="0.3">
      <c r="B31" s="358"/>
      <c r="C31" s="355"/>
      <c r="D31" s="97" t="s">
        <v>0</v>
      </c>
      <c r="F31" s="556">
        <f>SUM(F13:F30)</f>
        <v>3873260</v>
      </c>
      <c r="G31" s="98">
        <f>SUM(G13:G30)</f>
        <v>24185.7</v>
      </c>
      <c r="H31" s="98">
        <f t="shared" si="0"/>
        <v>3897445.7</v>
      </c>
      <c r="I31" s="98"/>
      <c r="J31" s="98">
        <f>SUM(J13:J30)</f>
        <v>3897445.7</v>
      </c>
      <c r="K31" s="98">
        <f>SUM(K13:K30)</f>
        <v>0</v>
      </c>
      <c r="M31" s="91"/>
    </row>
    <row r="32" spans="2:13" x14ac:dyDescent="0.3">
      <c r="B32" s="529">
        <v>7817</v>
      </c>
      <c r="C32" s="353">
        <v>21068</v>
      </c>
      <c r="D32" s="103" t="s">
        <v>1</v>
      </c>
      <c r="E32" s="92" t="s">
        <v>18</v>
      </c>
      <c r="F32" s="368">
        <v>104140</v>
      </c>
      <c r="G32" s="91">
        <v>0</v>
      </c>
      <c r="H32" s="91">
        <f t="shared" si="0"/>
        <v>104140</v>
      </c>
      <c r="I32" s="91"/>
      <c r="J32" s="91">
        <f t="shared" si="0"/>
        <v>104140</v>
      </c>
      <c r="K32" s="91">
        <f>H32-J32</f>
        <v>0</v>
      </c>
    </row>
    <row r="33" spans="1:12" ht="32.4" thickBot="1" x14ac:dyDescent="0.4">
      <c r="B33" s="356"/>
      <c r="C33" s="357">
        <v>21069</v>
      </c>
      <c r="D33" s="142" t="s">
        <v>2</v>
      </c>
      <c r="E33" s="141" t="s">
        <v>18</v>
      </c>
      <c r="F33" s="452">
        <v>232066</v>
      </c>
      <c r="G33" s="143">
        <v>666</v>
      </c>
      <c r="H33" s="143">
        <f t="shared" si="0"/>
        <v>232732</v>
      </c>
      <c r="I33" s="143"/>
      <c r="J33" s="143">
        <f t="shared" si="0"/>
        <v>232732</v>
      </c>
      <c r="K33" s="143">
        <f>H33-J33</f>
        <v>0</v>
      </c>
      <c r="L33" s="494"/>
    </row>
    <row r="34" spans="1:12" ht="16.2" thickTop="1" x14ac:dyDescent="0.3">
      <c r="D34" s="104" t="s">
        <v>3</v>
      </c>
      <c r="F34" s="227">
        <f>SUM(F13:F30)+SUM(F32:F33)</f>
        <v>4209466</v>
      </c>
      <c r="G34" s="227">
        <f>SUM(G13:G30)+SUM(G32:G33)</f>
        <v>24851.7</v>
      </c>
      <c r="H34" s="227">
        <f t="shared" si="0"/>
        <v>4234317.7</v>
      </c>
      <c r="I34" s="490"/>
      <c r="J34" s="493">
        <f>SUM(J13:J30)+SUM(J32:J33)</f>
        <v>4234317.7</v>
      </c>
      <c r="K34" s="493">
        <f>SUM(K13:K30)+SUM(K32:K33)</f>
        <v>0</v>
      </c>
    </row>
    <row r="35" spans="1:12" x14ac:dyDescent="0.3">
      <c r="D35" s="103"/>
      <c r="F35" s="98"/>
      <c r="G35" s="98"/>
      <c r="H35" s="98"/>
      <c r="I35" s="98"/>
    </row>
    <row r="36" spans="1:12" x14ac:dyDescent="0.3">
      <c r="A36" s="359" t="s">
        <v>420</v>
      </c>
      <c r="D36" s="103"/>
      <c r="F36" s="98"/>
      <c r="G36" s="98"/>
      <c r="H36" s="98"/>
      <c r="I36" s="98"/>
    </row>
    <row r="37" spans="1:12" x14ac:dyDescent="0.3">
      <c r="A37" s="359" t="s">
        <v>9</v>
      </c>
      <c r="K37" s="91"/>
    </row>
    <row r="38" spans="1:12" x14ac:dyDescent="0.3">
      <c r="A38" s="557" t="s">
        <v>506</v>
      </c>
      <c r="B38" s="198"/>
      <c r="C38" s="198"/>
      <c r="D38" s="198"/>
      <c r="E38" s="198"/>
      <c r="F38" s="198"/>
      <c r="G38" s="198"/>
    </row>
    <row r="39" spans="1:12" x14ac:dyDescent="0.3">
      <c r="A39" s="557"/>
      <c r="B39" s="198"/>
      <c r="C39" s="198"/>
      <c r="D39" s="198"/>
      <c r="E39" s="198"/>
      <c r="F39" s="198"/>
      <c r="G39" s="198"/>
    </row>
    <row r="40" spans="1:12" x14ac:dyDescent="0.3">
      <c r="A40" s="489"/>
      <c r="B40" s="60"/>
      <c r="C40" s="60"/>
      <c r="D40" s="60"/>
      <c r="E40" s="60"/>
      <c r="F40" s="60"/>
      <c r="G40" s="58"/>
      <c r="H40" s="58"/>
      <c r="I40" s="58"/>
      <c r="J40" s="58"/>
    </row>
    <row r="41" spans="1:12" x14ac:dyDescent="0.3">
      <c r="A41" s="635"/>
      <c r="B41" s="635"/>
      <c r="C41" s="635"/>
      <c r="D41" s="60"/>
      <c r="E41" s="60"/>
      <c r="F41" s="60"/>
      <c r="G41" s="58"/>
      <c r="H41" s="58"/>
      <c r="I41" s="58"/>
      <c r="J41" s="58"/>
    </row>
    <row r="42" spans="1:12" x14ac:dyDescent="0.3">
      <c r="A42" s="58"/>
      <c r="B42" s="58"/>
      <c r="C42" s="58"/>
      <c r="D42" s="58"/>
      <c r="E42" s="58"/>
      <c r="F42" s="58"/>
      <c r="G42" s="58"/>
      <c r="H42" s="58"/>
      <c r="I42" s="58"/>
      <c r="J42" s="58"/>
    </row>
    <row r="43" spans="1:12" x14ac:dyDescent="0.3">
      <c r="D43" s="478"/>
      <c r="E43" s="478"/>
      <c r="F43" s="480"/>
      <c r="G43" s="479"/>
      <c r="H43" s="481"/>
      <c r="I43" s="481"/>
      <c r="J43" s="58"/>
    </row>
    <row r="44" spans="1:12" x14ac:dyDescent="0.3">
      <c r="A44" s="58"/>
      <c r="B44" s="482"/>
      <c r="C44" s="483"/>
      <c r="D44" s="484"/>
      <c r="E44" s="485"/>
      <c r="F44" s="56"/>
      <c r="G44" s="56"/>
      <c r="H44" s="56"/>
      <c r="I44" s="56"/>
      <c r="J44" s="58"/>
    </row>
    <row r="45" spans="1:12" x14ac:dyDescent="0.3">
      <c r="A45" s="58"/>
      <c r="B45" s="482"/>
      <c r="C45" s="483"/>
      <c r="D45" s="484"/>
      <c r="E45" s="485"/>
      <c r="F45" s="56"/>
      <c r="G45" s="56"/>
      <c r="H45" s="56"/>
      <c r="I45" s="56"/>
      <c r="J45" s="58"/>
    </row>
    <row r="46" spans="1:12" x14ac:dyDescent="0.3">
      <c r="A46" s="58"/>
      <c r="B46" s="482"/>
      <c r="C46" s="483"/>
      <c r="D46" s="484"/>
      <c r="E46" s="485"/>
      <c r="F46" s="56"/>
      <c r="G46" s="56"/>
      <c r="H46" s="56"/>
      <c r="I46" s="56"/>
      <c r="J46" s="58"/>
    </row>
    <row r="47" spans="1:12" x14ac:dyDescent="0.3">
      <c r="A47" s="58"/>
      <c r="B47" s="482"/>
      <c r="C47" s="483"/>
      <c r="D47" s="484"/>
      <c r="E47" s="485"/>
      <c r="F47" s="56"/>
      <c r="G47" s="56"/>
      <c r="H47" s="56"/>
      <c r="I47" s="56"/>
      <c r="J47" s="298"/>
    </row>
    <row r="48" spans="1:12" x14ac:dyDescent="0.3">
      <c r="A48" s="58"/>
      <c r="B48" s="482"/>
      <c r="C48" s="483"/>
      <c r="D48" s="484"/>
      <c r="E48" s="485"/>
      <c r="F48" s="56"/>
      <c r="G48" s="56"/>
      <c r="H48" s="56"/>
      <c r="I48" s="56"/>
      <c r="J48" s="298"/>
    </row>
    <row r="49" spans="1:10" x14ac:dyDescent="0.3">
      <c r="A49" s="58"/>
      <c r="B49" s="482"/>
      <c r="C49" s="483"/>
      <c r="D49" s="484"/>
      <c r="E49" s="485"/>
      <c r="F49" s="56"/>
      <c r="G49" s="56"/>
      <c r="H49" s="56"/>
      <c r="I49" s="56"/>
      <c r="J49" s="298"/>
    </row>
    <row r="50" spans="1:10" x14ac:dyDescent="0.3">
      <c r="A50" s="58"/>
      <c r="B50" s="482"/>
      <c r="C50" s="483"/>
      <c r="D50" s="484"/>
      <c r="E50" s="485"/>
      <c r="F50" s="56"/>
      <c r="G50" s="56"/>
      <c r="H50" s="56"/>
      <c r="I50" s="56"/>
      <c r="J50" s="58"/>
    </row>
    <row r="51" spans="1:10" x14ac:dyDescent="0.3">
      <c r="A51" s="58"/>
      <c r="B51" s="482"/>
      <c r="C51" s="483"/>
      <c r="D51" s="484"/>
      <c r="E51" s="485"/>
      <c r="F51" s="56"/>
      <c r="G51" s="56"/>
      <c r="H51" s="36"/>
      <c r="I51" s="36"/>
      <c r="J51" s="58"/>
    </row>
    <row r="52" spans="1:10" x14ac:dyDescent="0.3">
      <c r="A52" s="58"/>
      <c r="B52" s="486"/>
      <c r="C52" s="483"/>
      <c r="D52" s="484"/>
      <c r="E52" s="485"/>
      <c r="F52" s="56"/>
      <c r="G52" s="56"/>
      <c r="H52" s="56"/>
      <c r="I52" s="56"/>
      <c r="J52" s="58"/>
    </row>
    <row r="53" spans="1:10" x14ac:dyDescent="0.3">
      <c r="A53" s="58"/>
      <c r="B53" s="482"/>
      <c r="C53" s="483"/>
      <c r="D53" s="484"/>
      <c r="E53" s="485"/>
      <c r="F53" s="56"/>
      <c r="G53" s="56"/>
      <c r="H53" s="56"/>
      <c r="I53" s="56"/>
      <c r="J53" s="58"/>
    </row>
    <row r="54" spans="1:10" x14ac:dyDescent="0.3">
      <c r="A54" s="58"/>
      <c r="B54" s="58"/>
      <c r="C54" s="60"/>
      <c r="D54" s="60"/>
      <c r="E54" s="58"/>
      <c r="F54" s="84"/>
      <c r="G54" s="84"/>
      <c r="H54" s="36"/>
      <c r="I54" s="36"/>
      <c r="J54" s="58"/>
    </row>
    <row r="55" spans="1:10" x14ac:dyDescent="0.3">
      <c r="A55" s="58"/>
      <c r="B55" s="58"/>
      <c r="C55" s="487"/>
      <c r="D55" s="488"/>
      <c r="E55" s="58"/>
      <c r="F55" s="56"/>
      <c r="G55" s="56"/>
      <c r="H55" s="56"/>
      <c r="I55" s="56"/>
      <c r="J55" s="58"/>
    </row>
    <row r="56" spans="1:10" x14ac:dyDescent="0.3">
      <c r="A56" s="58"/>
      <c r="B56" s="58"/>
      <c r="C56" s="487"/>
      <c r="D56" s="488"/>
      <c r="E56" s="58"/>
      <c r="F56" s="56"/>
      <c r="G56" s="56"/>
      <c r="H56" s="56"/>
      <c r="I56" s="56"/>
      <c r="J56" s="58"/>
    </row>
    <row r="57" spans="1:10" x14ac:dyDescent="0.3">
      <c r="A57" s="58"/>
      <c r="B57" s="58"/>
      <c r="C57" s="58"/>
      <c r="D57" s="58"/>
      <c r="E57" s="58"/>
      <c r="F57" s="84"/>
      <c r="G57" s="84"/>
      <c r="H57" s="34"/>
      <c r="I57" s="34"/>
      <c r="J57" s="58"/>
    </row>
    <row r="58" spans="1:10" x14ac:dyDescent="0.3">
      <c r="A58" s="58"/>
      <c r="B58" s="58"/>
      <c r="C58" s="58"/>
      <c r="D58" s="58"/>
      <c r="E58" s="58"/>
      <c r="F58" s="58"/>
      <c r="G58" s="58"/>
      <c r="H58" s="58"/>
      <c r="I58" s="58"/>
      <c r="J58" s="58"/>
    </row>
    <row r="59" spans="1:10" x14ac:dyDescent="0.3">
      <c r="A59" s="489"/>
      <c r="B59" s="58"/>
      <c r="C59" s="58"/>
      <c r="D59" s="58"/>
      <c r="E59" s="58"/>
      <c r="F59" s="58"/>
      <c r="G59" s="58"/>
      <c r="H59" s="58"/>
      <c r="I59" s="58"/>
      <c r="J59" s="58"/>
    </row>
    <row r="60" spans="1:10" x14ac:dyDescent="0.3">
      <c r="A60" s="489"/>
      <c r="B60" s="58"/>
      <c r="C60" s="58"/>
      <c r="D60" s="58"/>
      <c r="E60" s="58"/>
      <c r="F60" s="58"/>
      <c r="G60" s="58"/>
      <c r="H60" s="58"/>
      <c r="I60" s="58"/>
      <c r="J60" s="58"/>
    </row>
  </sheetData>
  <pageMargins left="0.31496062992125984" right="0.31496062992125984" top="0.39370078740157483" bottom="0.39370078740157483" header="0.31496062992125984" footer="0.31496062992125984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35"/>
  <sheetViews>
    <sheetView workbookViewId="0">
      <selection activeCell="H1" sqref="H1"/>
    </sheetView>
  </sheetViews>
  <sheetFormatPr defaultColWidth="9.109375" defaultRowHeight="13.8" x14ac:dyDescent="0.25"/>
  <cols>
    <col min="1" max="1" width="5" style="525" customWidth="1"/>
    <col min="2" max="2" width="10.6640625" style="525" customWidth="1"/>
    <col min="3" max="3" width="11.33203125" style="525" customWidth="1"/>
    <col min="4" max="4" width="36.88671875" style="525" bestFit="1" customWidth="1"/>
    <col min="5" max="5" width="4.6640625" style="525" customWidth="1"/>
    <col min="6" max="7" width="14.6640625" style="525" customWidth="1"/>
    <col min="8" max="8" width="13.5546875" style="525" customWidth="1"/>
    <col min="9" max="9" width="14.6640625" style="525" customWidth="1"/>
    <col min="10" max="10" width="12.109375" style="525" customWidth="1"/>
    <col min="11" max="11" width="16.44140625" style="525" customWidth="1"/>
    <col min="12" max="15" width="9.109375" style="525"/>
    <col min="16" max="16" width="11.88671875" style="525" customWidth="1"/>
    <col min="17" max="16384" width="9.109375" style="525"/>
  </cols>
  <sheetData>
    <row r="1" spans="1:9" ht="20.399999999999999" x14ac:dyDescent="0.35">
      <c r="A1" s="310" t="s">
        <v>369</v>
      </c>
      <c r="G1" s="335"/>
      <c r="H1" s="552"/>
    </row>
    <row r="2" spans="1:9" ht="15.6" x14ac:dyDescent="0.3">
      <c r="A2" s="50"/>
      <c r="B2" s="51"/>
      <c r="C2" s="50"/>
      <c r="D2" s="50"/>
      <c r="E2" s="50"/>
      <c r="F2" s="52"/>
      <c r="G2" s="50"/>
    </row>
    <row r="3" spans="1:9" ht="27.6" x14ac:dyDescent="0.25">
      <c r="A3" s="53" t="s">
        <v>192</v>
      </c>
      <c r="B3" s="53" t="s">
        <v>59</v>
      </c>
      <c r="C3" s="53" t="s">
        <v>69</v>
      </c>
      <c r="D3" s="53" t="s">
        <v>60</v>
      </c>
      <c r="E3" s="76"/>
      <c r="F3" s="53" t="s">
        <v>72</v>
      </c>
      <c r="G3" s="53" t="s">
        <v>73</v>
      </c>
      <c r="H3" s="95" t="s">
        <v>370</v>
      </c>
    </row>
    <row r="4" spans="1:9" ht="15.6" x14ac:dyDescent="0.3">
      <c r="A4" s="51">
        <v>1</v>
      </c>
      <c r="B4" s="74">
        <v>7620</v>
      </c>
      <c r="C4" s="82" t="s">
        <v>329</v>
      </c>
      <c r="D4" s="83" t="s">
        <v>330</v>
      </c>
      <c r="E4" s="297" t="s">
        <v>307</v>
      </c>
      <c r="F4" s="367">
        <v>2080333.66</v>
      </c>
      <c r="G4" s="367">
        <v>2080333.66</v>
      </c>
      <c r="H4" s="96">
        <f t="shared" ref="H4:H6" si="0">G4-F4</f>
        <v>0</v>
      </c>
      <c r="I4" s="196"/>
    </row>
    <row r="5" spans="1:9" s="645" customFormat="1" ht="15.6" x14ac:dyDescent="0.3">
      <c r="A5" s="51">
        <v>2</v>
      </c>
      <c r="B5" s="78">
        <v>7630</v>
      </c>
      <c r="C5" s="82" t="s">
        <v>475</v>
      </c>
      <c r="D5" s="83" t="s">
        <v>246</v>
      </c>
      <c r="E5" s="297" t="s">
        <v>307</v>
      </c>
      <c r="F5" s="370">
        <v>125000</v>
      </c>
      <c r="G5" s="370">
        <v>125000</v>
      </c>
      <c r="H5" s="96">
        <f t="shared" ref="H5" si="1">G5-F5</f>
        <v>0</v>
      </c>
      <c r="I5" s="196"/>
    </row>
    <row r="6" spans="1:9" ht="16.2" thickBot="1" x14ac:dyDescent="0.35">
      <c r="A6" s="51">
        <v>3</v>
      </c>
      <c r="B6" s="721">
        <v>7640</v>
      </c>
      <c r="C6" s="82" t="s">
        <v>476</v>
      </c>
      <c r="D6" s="83" t="s">
        <v>246</v>
      </c>
      <c r="E6" s="297" t="s">
        <v>307</v>
      </c>
      <c r="F6" s="370">
        <v>51750</v>
      </c>
      <c r="G6" s="370">
        <v>51750</v>
      </c>
      <c r="H6" s="96">
        <f t="shared" si="0"/>
        <v>0</v>
      </c>
      <c r="I6" s="196"/>
    </row>
    <row r="7" spans="1:9" ht="16.2" thickBot="1" x14ac:dyDescent="0.35">
      <c r="A7" s="50"/>
      <c r="B7" s="51"/>
      <c r="C7" s="82"/>
      <c r="D7" s="83"/>
      <c r="E7" s="75"/>
      <c r="F7" s="57">
        <f>SUM(F4:F6)</f>
        <v>2257083.66</v>
      </c>
      <c r="G7" s="57">
        <f>SUM(G4:G6)</f>
        <v>2257083.66</v>
      </c>
      <c r="H7" s="57">
        <f>SUM(H4:H6)</f>
        <v>0</v>
      </c>
    </row>
    <row r="8" spans="1:9" x14ac:dyDescent="0.25">
      <c r="A8" s="301" t="s">
        <v>74</v>
      </c>
      <c r="B8" s="245"/>
      <c r="C8" s="245"/>
    </row>
    <row r="9" spans="1:9" ht="14.4" x14ac:dyDescent="0.3">
      <c r="A9" s="246" t="s">
        <v>75</v>
      </c>
      <c r="B9" s="245" t="s">
        <v>77</v>
      </c>
      <c r="C9" s="245"/>
    </row>
    <row r="10" spans="1:9" ht="14.4" x14ac:dyDescent="0.3">
      <c r="A10" s="246" t="s">
        <v>76</v>
      </c>
      <c r="B10" s="245" t="s">
        <v>78</v>
      </c>
      <c r="C10" s="245"/>
      <c r="E10" s="274"/>
    </row>
    <row r="11" spans="1:9" ht="14.4" x14ac:dyDescent="0.3">
      <c r="A11" s="246"/>
      <c r="B11" s="245"/>
      <c r="C11" s="245"/>
    </row>
    <row r="13" spans="1:9" ht="15.6" x14ac:dyDescent="0.3">
      <c r="A13" s="648" t="s">
        <v>371</v>
      </c>
      <c r="B13" s="649"/>
      <c r="C13" s="648"/>
      <c r="D13" s="60"/>
    </row>
    <row r="14" spans="1:9" ht="14.4" thickBot="1" x14ac:dyDescent="0.3">
      <c r="A14" s="525" t="s">
        <v>372</v>
      </c>
    </row>
    <row r="15" spans="1:9" ht="15.6" x14ac:dyDescent="0.3">
      <c r="D15" s="250" t="s">
        <v>4</v>
      </c>
      <c r="E15" s="98"/>
      <c r="F15" s="252" t="s">
        <v>63</v>
      </c>
      <c r="G15" s="253" t="s">
        <v>21</v>
      </c>
      <c r="H15" s="254" t="s">
        <v>79</v>
      </c>
    </row>
    <row r="16" spans="1:9" ht="15.6" x14ac:dyDescent="0.3">
      <c r="D16" s="249" t="s">
        <v>44</v>
      </c>
      <c r="E16" s="91"/>
      <c r="F16" s="371">
        <f>SUMIFS(G4:G6,B4:B6,7620)</f>
        <v>2080333.66</v>
      </c>
      <c r="G16" s="54">
        <f>SUMIFS(F4:F6,B4:B6,7620)</f>
        <v>2080333.66</v>
      </c>
      <c r="H16" s="247">
        <f>F16-G16</f>
        <v>0</v>
      </c>
    </row>
    <row r="17" spans="1:8" ht="15.6" x14ac:dyDescent="0.3">
      <c r="D17" s="249" t="s">
        <v>45</v>
      </c>
      <c r="E17" s="91"/>
      <c r="F17" s="371">
        <f>SUMIFS(G4:G6,B4:B6,7630)</f>
        <v>125000</v>
      </c>
      <c r="G17" s="54">
        <f>SUMIFS(F4:F6,B4:B6,7630)</f>
        <v>125000</v>
      </c>
      <c r="H17" s="247">
        <f t="shared" ref="H17:H19" si="2">F17-G17</f>
        <v>0</v>
      </c>
    </row>
    <row r="18" spans="1:8" ht="15.6" x14ac:dyDescent="0.3">
      <c r="D18" s="249" t="s">
        <v>46</v>
      </c>
      <c r="E18" s="91"/>
      <c r="F18" s="371">
        <f>SUMIFS(G4:G6,B4:B6,7640)</f>
        <v>51750</v>
      </c>
      <c r="G18" s="54">
        <f>SUMIFS(F4:F6,B4:B6,7640)</f>
        <v>51750</v>
      </c>
      <c r="H18" s="247">
        <f t="shared" si="2"/>
        <v>0</v>
      </c>
    </row>
    <row r="19" spans="1:8" ht="16.2" thickBot="1" x14ac:dyDescent="0.35">
      <c r="D19" s="249" t="s">
        <v>47</v>
      </c>
      <c r="E19" s="91"/>
      <c r="F19" s="372">
        <f>SUMIFS(G4:G6,B4:B6,7817)</f>
        <v>0</v>
      </c>
      <c r="G19" s="143">
        <f>SUMIFS(F4:F6,B4:B6,7817)</f>
        <v>0</v>
      </c>
      <c r="H19" s="248">
        <f t="shared" si="2"/>
        <v>0</v>
      </c>
    </row>
    <row r="20" spans="1:8" ht="16.8" thickTop="1" thickBot="1" x14ac:dyDescent="0.35">
      <c r="D20" s="251" t="s">
        <v>14</v>
      </c>
      <c r="F20" s="255">
        <f>SUM(F16:F19)</f>
        <v>2257083.66</v>
      </c>
      <c r="G20" s="256">
        <f t="shared" ref="G20:H20" si="3">SUM(G16:G19)</f>
        <v>2257083.66</v>
      </c>
      <c r="H20" s="257">
        <f t="shared" si="3"/>
        <v>0</v>
      </c>
    </row>
    <row r="22" spans="1:8" x14ac:dyDescent="0.25">
      <c r="A22" s="301" t="s">
        <v>74</v>
      </c>
    </row>
    <row r="23" spans="1:8" x14ac:dyDescent="0.25">
      <c r="A23" s="525" t="s">
        <v>535</v>
      </c>
    </row>
    <row r="35" spans="1:3" x14ac:dyDescent="0.25">
      <c r="A35" s="762"/>
      <c r="B35" s="762"/>
      <c r="C35" s="762"/>
    </row>
  </sheetData>
  <mergeCells count="1">
    <mergeCell ref="A35:C35"/>
  </mergeCells>
  <pageMargins left="0.31496062992125984" right="0.31496062992125984" top="0.39370078740157483" bottom="0.39370078740157483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"/>
  <sheetViews>
    <sheetView topLeftCell="A19" zoomScaleNormal="100" workbookViewId="0">
      <selection activeCell="C28" sqref="C28"/>
    </sheetView>
  </sheetViews>
  <sheetFormatPr defaultRowHeight="14.4" x14ac:dyDescent="0.3"/>
  <cols>
    <col min="1" max="1" width="5.33203125" style="595" customWidth="1"/>
    <col min="2" max="2" width="9.6640625" style="595" customWidth="1"/>
    <col min="3" max="3" width="10.33203125" style="595" customWidth="1"/>
    <col min="4" max="4" width="42.33203125" style="595" customWidth="1"/>
    <col min="5" max="5" width="6.88671875" style="595" customWidth="1"/>
    <col min="6" max="7" width="14.6640625" style="595" customWidth="1"/>
    <col min="8" max="8" width="5.33203125" style="595" customWidth="1"/>
    <col min="9" max="9" width="14.6640625" style="595" customWidth="1"/>
    <col min="10" max="10" width="13.88671875" style="595" bestFit="1" customWidth="1"/>
    <col min="11" max="11" width="5.44140625" style="595" customWidth="1"/>
    <col min="12" max="12" width="15.44140625" style="595" customWidth="1"/>
    <col min="13" max="13" width="15.5546875" style="595" customWidth="1"/>
    <col min="14" max="14" width="3.33203125" style="595" customWidth="1"/>
    <col min="15" max="15" width="8.88671875" style="595"/>
    <col min="16" max="16" width="11.88671875" style="595" customWidth="1"/>
    <col min="17" max="16384" width="8.88671875" style="595"/>
  </cols>
  <sheetData>
    <row r="1" spans="1:13" ht="20.399999999999999" x14ac:dyDescent="0.35">
      <c r="A1" s="458" t="s">
        <v>457</v>
      </c>
      <c r="B1" s="185"/>
      <c r="C1" s="185"/>
      <c r="D1" s="185"/>
      <c r="E1" s="185"/>
      <c r="F1" s="185"/>
      <c r="G1" s="552"/>
      <c r="L1" s="335"/>
    </row>
    <row r="2" spans="1:13" ht="15.6" x14ac:dyDescent="0.3">
      <c r="A2" s="50"/>
      <c r="B2" s="51"/>
      <c r="C2" s="50"/>
      <c r="D2" s="50"/>
      <c r="E2" s="50"/>
      <c r="F2" s="277" t="s">
        <v>58</v>
      </c>
      <c r="G2" s="50"/>
      <c r="H2" s="50"/>
      <c r="I2" s="277" t="s">
        <v>58</v>
      </c>
      <c r="J2" s="50"/>
      <c r="K2" s="50"/>
      <c r="L2" s="277" t="s">
        <v>58</v>
      </c>
      <c r="M2" s="50"/>
    </row>
    <row r="3" spans="1:13" ht="28.2" x14ac:dyDescent="0.3">
      <c r="A3" s="53" t="s">
        <v>192</v>
      </c>
      <c r="B3" s="53" t="s">
        <v>59</v>
      </c>
      <c r="C3" s="53" t="s">
        <v>69</v>
      </c>
      <c r="D3" s="53" t="s">
        <v>60</v>
      </c>
      <c r="E3" s="76"/>
      <c r="F3" s="53" t="s">
        <v>61</v>
      </c>
      <c r="G3" s="53" t="s">
        <v>62</v>
      </c>
      <c r="H3" s="76"/>
      <c r="I3" s="53" t="s">
        <v>65</v>
      </c>
      <c r="J3" s="53" t="s">
        <v>66</v>
      </c>
      <c r="K3" s="76"/>
      <c r="L3" s="71" t="s">
        <v>67</v>
      </c>
      <c r="M3" s="72" t="s">
        <v>68</v>
      </c>
    </row>
    <row r="4" spans="1:13" ht="15.6" x14ac:dyDescent="0.3">
      <c r="A4" s="51">
        <v>1</v>
      </c>
      <c r="B4" s="82">
        <v>7620</v>
      </c>
      <c r="C4" s="239">
        <v>3222</v>
      </c>
      <c r="D4" s="360" t="s">
        <v>368</v>
      </c>
      <c r="E4" s="378" t="s">
        <v>181</v>
      </c>
      <c r="F4" s="80"/>
      <c r="G4" s="457">
        <v>52200</v>
      </c>
      <c r="H4" s="56"/>
      <c r="I4" s="81"/>
      <c r="J4" s="55">
        <v>4349.72</v>
      </c>
      <c r="K4" s="54"/>
      <c r="L4" s="90">
        <f>F4-I4</f>
        <v>0</v>
      </c>
      <c r="M4" s="89">
        <f>G4-J4</f>
        <v>47850.28</v>
      </c>
    </row>
    <row r="5" spans="1:13" ht="15.6" x14ac:dyDescent="0.3">
      <c r="A5" s="51">
        <v>2</v>
      </c>
      <c r="B5" s="82">
        <v>7630</v>
      </c>
      <c r="C5" s="240">
        <v>4851</v>
      </c>
      <c r="D5" s="360" t="s">
        <v>324</v>
      </c>
      <c r="E5" s="378" t="s">
        <v>181</v>
      </c>
      <c r="F5" s="80"/>
      <c r="G5" s="457">
        <v>5171752</v>
      </c>
      <c r="H5" s="56"/>
      <c r="I5" s="80"/>
      <c r="J5" s="457">
        <v>5061249.6500000004</v>
      </c>
      <c r="K5" s="54"/>
      <c r="L5" s="90">
        <f t="shared" ref="L5:L19" si="0">F5-I5</f>
        <v>0</v>
      </c>
      <c r="M5" s="89">
        <f t="shared" ref="M5:M18" si="1">G5-J5</f>
        <v>110502.34999999963</v>
      </c>
    </row>
    <row r="6" spans="1:13" ht="15.6" x14ac:dyDescent="0.3">
      <c r="A6" s="51">
        <v>3</v>
      </c>
      <c r="B6" s="82">
        <v>7630</v>
      </c>
      <c r="C6" s="240">
        <v>6549</v>
      </c>
      <c r="D6" s="360" t="s">
        <v>325</v>
      </c>
      <c r="E6" s="378" t="s">
        <v>181</v>
      </c>
      <c r="F6" s="80"/>
      <c r="G6" s="457">
        <v>333380.59000000003</v>
      </c>
      <c r="H6" s="56"/>
      <c r="I6" s="80"/>
      <c r="J6" s="457">
        <v>300244.78000000003</v>
      </c>
      <c r="K6" s="54"/>
      <c r="L6" s="90">
        <f t="shared" si="0"/>
        <v>0</v>
      </c>
      <c r="M6" s="89">
        <f t="shared" si="1"/>
        <v>33135.81</v>
      </c>
    </row>
    <row r="7" spans="1:13" ht="28.2" x14ac:dyDescent="0.3">
      <c r="A7" s="51">
        <v>4</v>
      </c>
      <c r="B7" s="82">
        <v>7630</v>
      </c>
      <c r="C7" s="240">
        <v>6650</v>
      </c>
      <c r="D7" s="532" t="s">
        <v>323</v>
      </c>
      <c r="E7" s="378" t="s">
        <v>181</v>
      </c>
      <c r="F7" s="80"/>
      <c r="G7" s="457">
        <v>280523.33</v>
      </c>
      <c r="H7" s="56"/>
      <c r="I7" s="80"/>
      <c r="J7" s="457">
        <v>204890.1</v>
      </c>
      <c r="K7" s="54"/>
      <c r="L7" s="90">
        <f t="shared" si="0"/>
        <v>0</v>
      </c>
      <c r="M7" s="89">
        <f t="shared" si="1"/>
        <v>75633.23000000001</v>
      </c>
    </row>
    <row r="8" spans="1:13" ht="15.6" x14ac:dyDescent="0.3">
      <c r="A8" s="51">
        <v>5</v>
      </c>
      <c r="B8" s="82">
        <v>7630</v>
      </c>
      <c r="C8" s="240">
        <v>6805</v>
      </c>
      <c r="D8" s="360" t="s">
        <v>304</v>
      </c>
      <c r="E8" s="378" t="s">
        <v>181</v>
      </c>
      <c r="F8" s="80">
        <v>810200</v>
      </c>
      <c r="G8" s="457"/>
      <c r="H8" s="56"/>
      <c r="I8" s="80">
        <v>797520.04</v>
      </c>
      <c r="J8" s="457"/>
      <c r="K8" s="54"/>
      <c r="L8" s="90">
        <f t="shared" si="0"/>
        <v>12679.959999999963</v>
      </c>
      <c r="M8" s="89">
        <f t="shared" si="1"/>
        <v>0</v>
      </c>
    </row>
    <row r="9" spans="1:13" ht="28.2" x14ac:dyDescent="0.3">
      <c r="A9" s="51">
        <v>6</v>
      </c>
      <c r="B9" s="82">
        <v>7630</v>
      </c>
      <c r="C9" s="240">
        <v>7582</v>
      </c>
      <c r="D9" s="532" t="s">
        <v>509</v>
      </c>
      <c r="E9" s="378" t="s">
        <v>181</v>
      </c>
      <c r="F9" s="80"/>
      <c r="G9" s="457">
        <v>204000</v>
      </c>
      <c r="H9" s="56"/>
      <c r="I9" s="80"/>
      <c r="J9" s="457">
        <v>164504.74</v>
      </c>
      <c r="K9" s="54"/>
      <c r="L9" s="90">
        <f>F9-I9</f>
        <v>0</v>
      </c>
      <c r="M9" s="89">
        <f t="shared" si="1"/>
        <v>39495.260000000009</v>
      </c>
    </row>
    <row r="10" spans="1:13" ht="28.2" x14ac:dyDescent="0.3">
      <c r="A10" s="51">
        <v>7</v>
      </c>
      <c r="B10" s="82">
        <v>7630</v>
      </c>
      <c r="C10" s="240">
        <v>7617</v>
      </c>
      <c r="D10" s="532" t="s">
        <v>510</v>
      </c>
      <c r="E10" s="378" t="s">
        <v>181</v>
      </c>
      <c r="F10" s="80">
        <v>21000</v>
      </c>
      <c r="G10" s="457"/>
      <c r="H10" s="56"/>
      <c r="I10" s="80">
        <v>18883.560000000001</v>
      </c>
      <c r="J10" s="457"/>
      <c r="K10" s="54"/>
      <c r="L10" s="90">
        <f t="shared" si="0"/>
        <v>2116.4399999999987</v>
      </c>
      <c r="M10" s="89">
        <f t="shared" si="1"/>
        <v>0</v>
      </c>
    </row>
    <row r="11" spans="1:13" ht="15.6" x14ac:dyDescent="0.3">
      <c r="A11" s="51">
        <v>8</v>
      </c>
      <c r="B11" s="82">
        <v>7640</v>
      </c>
      <c r="C11" s="361">
        <v>6520</v>
      </c>
      <c r="D11" s="360" t="s">
        <v>326</v>
      </c>
      <c r="E11" s="501" t="s">
        <v>287</v>
      </c>
      <c r="F11" s="80"/>
      <c r="G11" s="457">
        <v>359868</v>
      </c>
      <c r="H11" s="56"/>
      <c r="I11" s="80"/>
      <c r="J11" s="457">
        <v>359868</v>
      </c>
      <c r="K11" s="54"/>
      <c r="L11" s="90">
        <f>F11-I11</f>
        <v>0</v>
      </c>
      <c r="M11" s="89">
        <f t="shared" si="1"/>
        <v>0</v>
      </c>
    </row>
    <row r="12" spans="1:13" ht="15.6" x14ac:dyDescent="0.3">
      <c r="A12" s="51">
        <v>9</v>
      </c>
      <c r="B12" s="82">
        <v>7640</v>
      </c>
      <c r="C12" s="361">
        <v>6663</v>
      </c>
      <c r="D12" s="360" t="s">
        <v>284</v>
      </c>
      <c r="E12" s="501" t="s">
        <v>287</v>
      </c>
      <c r="F12" s="80"/>
      <c r="G12" s="457">
        <v>78750</v>
      </c>
      <c r="H12" s="56"/>
      <c r="I12" s="80"/>
      <c r="J12" s="457">
        <v>78750</v>
      </c>
      <c r="K12" s="54"/>
      <c r="L12" s="90">
        <f t="shared" si="0"/>
        <v>0</v>
      </c>
      <c r="M12" s="89">
        <f t="shared" si="1"/>
        <v>0</v>
      </c>
    </row>
    <row r="13" spans="1:13" ht="15.6" x14ac:dyDescent="0.3">
      <c r="A13" s="51">
        <v>10</v>
      </c>
      <c r="B13" s="82">
        <v>7640</v>
      </c>
      <c r="C13" s="361">
        <v>6758</v>
      </c>
      <c r="D13" s="360" t="s">
        <v>285</v>
      </c>
      <c r="E13" s="378" t="s">
        <v>181</v>
      </c>
      <c r="F13" s="80">
        <v>6935747.8200000003</v>
      </c>
      <c r="G13" s="457"/>
      <c r="H13" s="56"/>
      <c r="I13" s="80">
        <v>6575747.8200000003</v>
      </c>
      <c r="J13" s="457"/>
      <c r="K13" s="54"/>
      <c r="L13" s="90">
        <f t="shared" si="0"/>
        <v>360000</v>
      </c>
      <c r="M13" s="89">
        <f t="shared" si="1"/>
        <v>0</v>
      </c>
    </row>
    <row r="14" spans="1:13" ht="15.6" x14ac:dyDescent="0.3">
      <c r="A14" s="51">
        <v>11</v>
      </c>
      <c r="B14" s="82">
        <v>7640</v>
      </c>
      <c r="C14" s="361">
        <v>6771</v>
      </c>
      <c r="D14" s="360" t="s">
        <v>305</v>
      </c>
      <c r="E14" s="501" t="s">
        <v>287</v>
      </c>
      <c r="F14" s="80">
        <v>1363927.12</v>
      </c>
      <c r="G14" s="457"/>
      <c r="H14" s="56"/>
      <c r="I14" s="80">
        <v>1363927.12</v>
      </c>
      <c r="J14" s="457"/>
      <c r="K14" s="54"/>
      <c r="L14" s="90">
        <f t="shared" si="0"/>
        <v>0</v>
      </c>
      <c r="M14" s="89">
        <f t="shared" si="1"/>
        <v>0</v>
      </c>
    </row>
    <row r="15" spans="1:13" ht="15.6" x14ac:dyDescent="0.3">
      <c r="A15" s="51">
        <v>12</v>
      </c>
      <c r="B15" s="82">
        <v>7640</v>
      </c>
      <c r="C15" s="361">
        <v>6775</v>
      </c>
      <c r="D15" s="360" t="s">
        <v>286</v>
      </c>
      <c r="E15" s="501" t="s">
        <v>287</v>
      </c>
      <c r="F15" s="80">
        <v>104604.28</v>
      </c>
      <c r="G15" s="457"/>
      <c r="H15" s="56"/>
      <c r="I15" s="80">
        <v>104604.28</v>
      </c>
      <c r="J15" s="457"/>
      <c r="K15" s="54"/>
      <c r="L15" s="90">
        <f t="shared" si="0"/>
        <v>0</v>
      </c>
      <c r="M15" s="89">
        <f t="shared" si="1"/>
        <v>0</v>
      </c>
    </row>
    <row r="16" spans="1:13" ht="15.6" x14ac:dyDescent="0.3">
      <c r="A16" s="51">
        <v>13</v>
      </c>
      <c r="B16" s="82">
        <v>7640</v>
      </c>
      <c r="C16" s="361">
        <v>7101</v>
      </c>
      <c r="D16" s="360" t="s">
        <v>327</v>
      </c>
      <c r="E16" s="501" t="s">
        <v>287</v>
      </c>
      <c r="F16" s="80"/>
      <c r="G16" s="457">
        <v>838650</v>
      </c>
      <c r="H16" s="56"/>
      <c r="I16" s="80"/>
      <c r="J16" s="457">
        <v>838650</v>
      </c>
      <c r="K16" s="54"/>
      <c r="L16" s="90">
        <f t="shared" si="0"/>
        <v>0</v>
      </c>
      <c r="M16" s="89">
        <f t="shared" si="1"/>
        <v>0</v>
      </c>
    </row>
    <row r="17" spans="1:13" ht="15.6" x14ac:dyDescent="0.3">
      <c r="A17" s="51">
        <v>14</v>
      </c>
      <c r="B17" s="82">
        <v>7640</v>
      </c>
      <c r="C17" s="361">
        <v>7139</v>
      </c>
      <c r="D17" s="532" t="s">
        <v>328</v>
      </c>
      <c r="E17" s="501" t="s">
        <v>512</v>
      </c>
      <c r="F17" s="80">
        <v>48399.34</v>
      </c>
      <c r="G17" s="457"/>
      <c r="H17" s="56"/>
      <c r="I17" s="80">
        <v>48399.34</v>
      </c>
      <c r="J17" s="457"/>
      <c r="K17" s="54"/>
      <c r="L17" s="90">
        <f t="shared" si="0"/>
        <v>0</v>
      </c>
      <c r="M17" s="89">
        <f t="shared" si="1"/>
        <v>0</v>
      </c>
    </row>
    <row r="18" spans="1:13" ht="15.6" x14ac:dyDescent="0.3">
      <c r="A18" s="51">
        <v>15</v>
      </c>
      <c r="B18" s="82">
        <v>7640</v>
      </c>
      <c r="C18" s="361">
        <v>7557</v>
      </c>
      <c r="D18" s="360" t="s">
        <v>511</v>
      </c>
      <c r="E18" s="100" t="s">
        <v>181</v>
      </c>
      <c r="F18" s="80">
        <v>36626.31</v>
      </c>
      <c r="G18" s="457"/>
      <c r="H18" s="56"/>
      <c r="I18" s="80">
        <v>35363.69</v>
      </c>
      <c r="J18" s="457"/>
      <c r="K18" s="54"/>
      <c r="L18" s="90">
        <f t="shared" si="0"/>
        <v>1262.6199999999953</v>
      </c>
      <c r="M18" s="89">
        <f t="shared" si="1"/>
        <v>0</v>
      </c>
    </row>
    <row r="19" spans="1:13" ht="15.6" x14ac:dyDescent="0.3">
      <c r="A19" s="51">
        <v>16</v>
      </c>
      <c r="B19" s="82">
        <v>7817</v>
      </c>
      <c r="C19" s="304">
        <v>5368</v>
      </c>
      <c r="D19" s="360" t="s">
        <v>321</v>
      </c>
      <c r="E19" s="100" t="s">
        <v>181</v>
      </c>
      <c r="F19" s="80"/>
      <c r="G19" s="457">
        <v>300000</v>
      </c>
      <c r="H19" s="56"/>
      <c r="I19" s="80"/>
      <c r="J19" s="457">
        <v>232173.26</v>
      </c>
      <c r="K19" s="54"/>
      <c r="L19" s="90">
        <f t="shared" si="0"/>
        <v>0</v>
      </c>
      <c r="M19" s="89">
        <f t="shared" ref="L19:M20" si="2">G19-J19</f>
        <v>67826.739999999991</v>
      </c>
    </row>
    <row r="20" spans="1:13" ht="16.2" thickBot="1" x14ac:dyDescent="0.35">
      <c r="A20" s="51">
        <v>17</v>
      </c>
      <c r="B20" s="82">
        <v>7817</v>
      </c>
      <c r="C20" s="304">
        <v>5467</v>
      </c>
      <c r="D20" s="360" t="s">
        <v>322</v>
      </c>
      <c r="E20" s="100" t="s">
        <v>181</v>
      </c>
      <c r="F20" s="80"/>
      <c r="G20" s="457">
        <v>58145.14</v>
      </c>
      <c r="H20" s="56"/>
      <c r="I20" s="79"/>
      <c r="J20" s="55">
        <v>51483.28</v>
      </c>
      <c r="K20" s="54"/>
      <c r="L20" s="90">
        <f t="shared" si="2"/>
        <v>0</v>
      </c>
      <c r="M20" s="89">
        <f t="shared" si="2"/>
        <v>6661.8600000000006</v>
      </c>
    </row>
    <row r="21" spans="1:13" ht="16.2" thickBot="1" x14ac:dyDescent="0.35">
      <c r="A21" s="50"/>
      <c r="B21" s="51"/>
      <c r="C21" s="82"/>
      <c r="D21" s="83"/>
      <c r="E21" s="75"/>
      <c r="F21" s="57">
        <f>SUM(F4:F20)</f>
        <v>9320504.870000001</v>
      </c>
      <c r="G21" s="57">
        <f>SUM(G4:G20)</f>
        <v>7677269.0599999996</v>
      </c>
      <c r="H21" s="75"/>
      <c r="I21" s="57">
        <f>SUM(I4:I20)</f>
        <v>8944445.8499999978</v>
      </c>
      <c r="J21" s="57">
        <f>SUM(J4:J20)</f>
        <v>7296163.5300000003</v>
      </c>
      <c r="K21" s="75"/>
      <c r="L21" s="73">
        <f>SUM(L4:L20)</f>
        <v>376059.01999999996</v>
      </c>
      <c r="M21" s="260">
        <f>SUM(M4:M20)</f>
        <v>381105.52999999962</v>
      </c>
    </row>
    <row r="22" spans="1:13" ht="16.2" thickBot="1" x14ac:dyDescent="0.35">
      <c r="A22" s="50"/>
      <c r="B22" s="299" t="s">
        <v>182</v>
      </c>
      <c r="C22" s="50"/>
      <c r="D22" s="52"/>
      <c r="E22" s="50"/>
      <c r="F22" s="56"/>
      <c r="G22" s="56"/>
      <c r="H22" s="58"/>
      <c r="I22" s="56"/>
      <c r="J22" s="56"/>
      <c r="K22" s="56"/>
      <c r="L22" s="56"/>
      <c r="M22" s="56"/>
    </row>
    <row r="23" spans="1:13" ht="16.2" thickBot="1" x14ac:dyDescent="0.35">
      <c r="A23" s="58"/>
      <c r="B23" s="300" t="s">
        <v>181</v>
      </c>
      <c r="C23" s="298" t="s">
        <v>227</v>
      </c>
      <c r="D23" s="60"/>
      <c r="E23" s="58"/>
      <c r="F23" s="56"/>
      <c r="G23" s="56"/>
      <c r="H23" s="58"/>
      <c r="I23" s="56"/>
      <c r="J23" s="56"/>
      <c r="K23" s="56"/>
      <c r="L23" s="56"/>
      <c r="M23" s="70">
        <f>SUM(L21:M21)</f>
        <v>757164.54999999958</v>
      </c>
    </row>
    <row r="24" spans="1:13" ht="15.6" x14ac:dyDescent="0.3">
      <c r="A24" s="58"/>
      <c r="B24" s="300"/>
      <c r="C24" s="298" t="s">
        <v>306</v>
      </c>
      <c r="D24" s="60"/>
      <c r="E24" s="58"/>
      <c r="F24" s="56"/>
      <c r="G24" s="56"/>
      <c r="H24" s="58"/>
      <c r="I24" s="56"/>
      <c r="J24" s="56"/>
      <c r="K24" s="56"/>
      <c r="L24" s="56"/>
      <c r="M24" s="84"/>
    </row>
    <row r="25" spans="1:13" ht="15.6" x14ac:dyDescent="0.3">
      <c r="A25" s="58"/>
      <c r="B25" s="300"/>
      <c r="C25" s="298" t="s">
        <v>228</v>
      </c>
      <c r="D25" s="60"/>
      <c r="E25" s="58"/>
      <c r="F25" s="56"/>
      <c r="G25" s="56"/>
      <c r="H25" s="58"/>
      <c r="I25" s="56"/>
      <c r="J25" s="56"/>
      <c r="K25" s="56"/>
      <c r="L25" s="56"/>
      <c r="M25" s="84"/>
    </row>
    <row r="26" spans="1:13" ht="15.6" x14ac:dyDescent="0.3">
      <c r="A26" s="58"/>
      <c r="B26" s="300" t="s">
        <v>458</v>
      </c>
      <c r="C26" s="298" t="s">
        <v>513</v>
      </c>
      <c r="D26" s="60"/>
      <c r="E26" s="58"/>
      <c r="F26" s="56"/>
      <c r="G26" s="56"/>
      <c r="H26" s="58"/>
      <c r="I26" s="56"/>
      <c r="J26" s="56"/>
      <c r="K26" s="56"/>
      <c r="L26" s="56"/>
      <c r="M26" s="84"/>
    </row>
    <row r="27" spans="1:13" ht="15.6" x14ac:dyDescent="0.3">
      <c r="A27" s="58"/>
      <c r="B27" s="300" t="s">
        <v>512</v>
      </c>
      <c r="C27" s="298" t="s">
        <v>579</v>
      </c>
      <c r="D27" s="60"/>
      <c r="E27" s="58"/>
      <c r="F27" s="56"/>
      <c r="G27" s="56"/>
      <c r="H27" s="58"/>
      <c r="I27" s="56"/>
      <c r="J27" s="56"/>
      <c r="K27" s="56"/>
      <c r="L27" s="56"/>
      <c r="M27" s="84"/>
    </row>
    <row r="28" spans="1:13" ht="15.6" x14ac:dyDescent="0.3">
      <c r="A28" s="58"/>
      <c r="B28" s="59"/>
      <c r="C28" s="58"/>
      <c r="D28" s="60"/>
      <c r="E28" s="58"/>
      <c r="F28" s="56"/>
      <c r="G28" s="56"/>
      <c r="H28" s="58"/>
      <c r="I28" s="56"/>
      <c r="J28" s="56"/>
      <c r="K28" s="56"/>
      <c r="L28" s="56"/>
      <c r="M28" s="84"/>
    </row>
    <row r="29" spans="1:13" ht="18" thickBot="1" x14ac:dyDescent="0.35">
      <c r="A29" s="241" t="s">
        <v>70</v>
      </c>
      <c r="B29" s="242"/>
      <c r="C29" s="241"/>
      <c r="D29" s="241"/>
      <c r="E29" s="241"/>
      <c r="F29" s="243"/>
      <c r="G29" s="243"/>
      <c r="H29" s="58"/>
      <c r="I29" s="56"/>
      <c r="J29" s="56"/>
      <c r="K29" s="56"/>
      <c r="L29" s="56"/>
      <c r="M29" s="84"/>
    </row>
    <row r="30" spans="1:13" ht="16.2" thickTop="1" x14ac:dyDescent="0.3">
      <c r="A30" s="58"/>
      <c r="B30" s="59"/>
      <c r="C30" s="58"/>
      <c r="D30" s="60"/>
      <c r="E30" s="58"/>
      <c r="F30" s="56"/>
      <c r="G30" s="56"/>
      <c r="H30" s="58"/>
      <c r="I30" s="56"/>
      <c r="J30" s="56"/>
      <c r="K30" s="56"/>
      <c r="L30" s="56"/>
      <c r="M30" s="84"/>
    </row>
    <row r="31" spans="1:13" ht="16.8" x14ac:dyDescent="0.3">
      <c r="A31" s="50"/>
      <c r="B31" s="51"/>
      <c r="C31" s="50"/>
      <c r="D31" s="52" t="s">
        <v>63</v>
      </c>
      <c r="E31" s="50"/>
      <c r="F31" s="68">
        <v>205</v>
      </c>
      <c r="G31" s="61">
        <v>206</v>
      </c>
      <c r="H31" s="50"/>
    </row>
    <row r="32" spans="1:13" ht="15.6" x14ac:dyDescent="0.3">
      <c r="A32" s="50"/>
      <c r="B32" s="51"/>
      <c r="C32" s="50"/>
      <c r="D32" s="62">
        <f>SUM(F32:G32)</f>
        <v>52200</v>
      </c>
      <c r="E32" s="63">
        <v>7620</v>
      </c>
      <c r="F32" s="54">
        <f>SUMIFS(F4:F20,B4:B20,7620)</f>
        <v>0</v>
      </c>
      <c r="G32" s="54">
        <f>SUMIFS(G4:G20,B4:B20,7620)</f>
        <v>52200</v>
      </c>
      <c r="H32" s="50"/>
    </row>
    <row r="33" spans="1:10" ht="15.6" x14ac:dyDescent="0.3">
      <c r="A33" s="50"/>
      <c r="B33" s="51"/>
      <c r="C33" s="50"/>
      <c r="D33" s="62">
        <f>SUM(F33:G33)</f>
        <v>6820855.9199999999</v>
      </c>
      <c r="E33" s="63">
        <v>7630</v>
      </c>
      <c r="F33" s="54">
        <f>SUMIFS(F4:F20,B4:B20,7630)</f>
        <v>831200</v>
      </c>
      <c r="G33" s="54">
        <f>SUMIFS(G4:G20,B4:B20,7630)</f>
        <v>5989655.9199999999</v>
      </c>
      <c r="H33" s="50"/>
    </row>
    <row r="34" spans="1:10" ht="15.6" x14ac:dyDescent="0.3">
      <c r="A34" s="50"/>
      <c r="B34" s="51"/>
      <c r="C34" s="50"/>
      <c r="D34" s="62">
        <f>SUM(F34:G34)</f>
        <v>9766572.870000001</v>
      </c>
      <c r="E34" s="63">
        <v>7640</v>
      </c>
      <c r="F34" s="54">
        <f>SUMIFS(F4:F20,B4:B20,7640)</f>
        <v>8489304.870000001</v>
      </c>
      <c r="G34" s="54">
        <f>SUMIFS(G4:G20,B4:B20,7640)</f>
        <v>1277268</v>
      </c>
      <c r="H34" s="50"/>
    </row>
    <row r="35" spans="1:10" ht="16.2" thickBot="1" x14ac:dyDescent="0.35">
      <c r="A35" s="50"/>
      <c r="B35" s="51"/>
      <c r="C35" s="50"/>
      <c r="D35" s="62">
        <f>SUM(F35:G35)</f>
        <v>358145.14</v>
      </c>
      <c r="E35" s="63">
        <v>7817</v>
      </c>
      <c r="F35" s="54">
        <f>SUMIFS(F4:F20,B4:B20,7817)</f>
        <v>0</v>
      </c>
      <c r="G35" s="54">
        <f>SUMIFS(G4:G20,B4:B20,7817)</f>
        <v>358145.14</v>
      </c>
      <c r="H35" s="50"/>
    </row>
    <row r="36" spans="1:10" ht="16.2" thickBot="1" x14ac:dyDescent="0.35">
      <c r="A36" s="50"/>
      <c r="B36" s="51"/>
      <c r="C36" s="50"/>
      <c r="D36" s="57">
        <f>SUM(D32:D35)</f>
        <v>16997773.93</v>
      </c>
      <c r="E36" s="50"/>
      <c r="F36" s="57">
        <f>SUM(F32:F35)</f>
        <v>9320504.870000001</v>
      </c>
      <c r="G36" s="57">
        <f>SUM(G32:G35)</f>
        <v>7677269.0599999996</v>
      </c>
      <c r="H36" s="50"/>
      <c r="I36" s="1"/>
    </row>
    <row r="37" spans="1:10" ht="15.6" x14ac:dyDescent="0.3">
      <c r="A37" s="50"/>
      <c r="B37" s="51"/>
      <c r="C37" s="50"/>
      <c r="D37" s="54"/>
      <c r="E37" s="64"/>
      <c r="F37" s="65"/>
      <c r="G37" s="65"/>
      <c r="H37" s="50"/>
      <c r="I37" s="1"/>
    </row>
    <row r="38" spans="1:10" ht="15.6" x14ac:dyDescent="0.3">
      <c r="A38" s="50"/>
      <c r="B38" s="51"/>
      <c r="C38" s="50"/>
      <c r="D38" s="50"/>
      <c r="E38" s="58"/>
      <c r="F38" s="58"/>
      <c r="G38" s="58"/>
      <c r="H38" s="58"/>
      <c r="I38" s="86"/>
      <c r="J38" s="86"/>
    </row>
    <row r="39" spans="1:10" ht="16.8" x14ac:dyDescent="0.3">
      <c r="A39" s="50"/>
      <c r="B39" s="51"/>
      <c r="C39" s="50"/>
      <c r="D39" s="52" t="s">
        <v>21</v>
      </c>
      <c r="E39" s="50"/>
      <c r="F39" s="67">
        <v>205</v>
      </c>
      <c r="G39" s="61">
        <v>206</v>
      </c>
      <c r="H39" s="50"/>
    </row>
    <row r="40" spans="1:10" ht="15.6" x14ac:dyDescent="0.3">
      <c r="A40" s="547"/>
      <c r="B40" s="547"/>
      <c r="C40" s="548"/>
      <c r="D40" s="62">
        <f>SUM(F40:G40)</f>
        <v>4349.72</v>
      </c>
      <c r="E40" s="63">
        <v>7620</v>
      </c>
      <c r="F40" s="54">
        <f>SUMIFS(I4:I20,B4:B20,7620)</f>
        <v>0</v>
      </c>
      <c r="G40" s="54">
        <f>SUMIFS(J4:J20,B4:B20,7620)</f>
        <v>4349.72</v>
      </c>
      <c r="H40" s="50"/>
    </row>
    <row r="41" spans="1:10" ht="15.6" x14ac:dyDescent="0.3">
      <c r="A41" s="50"/>
      <c r="B41" s="51"/>
      <c r="C41" s="50"/>
      <c r="D41" s="62">
        <f>SUM(F41:G41)</f>
        <v>6547292.870000001</v>
      </c>
      <c r="E41" s="63">
        <v>7630</v>
      </c>
      <c r="F41" s="54">
        <f>SUMIFS(I4:I20,B4:B20,7630)</f>
        <v>816403.60000000009</v>
      </c>
      <c r="G41" s="56">
        <f>SUMIFS(J4:J20,B4:B20,7630)</f>
        <v>5730889.2700000005</v>
      </c>
      <c r="H41" s="50"/>
    </row>
    <row r="42" spans="1:10" ht="15.6" x14ac:dyDescent="0.3">
      <c r="A42" s="50"/>
      <c r="B42" s="51"/>
      <c r="C42" s="50"/>
      <c r="D42" s="62">
        <f>SUM(F42:G42)</f>
        <v>9405310.25</v>
      </c>
      <c r="E42" s="63">
        <v>7640</v>
      </c>
      <c r="F42" s="54">
        <f>SUMIFS(I4:I20,B4:B20,7640)</f>
        <v>8128042.2500000009</v>
      </c>
      <c r="G42" s="54">
        <f>SUMIFS(J4:J20,B4:B20,7640)</f>
        <v>1277268</v>
      </c>
      <c r="H42" s="50"/>
    </row>
    <row r="43" spans="1:10" ht="16.2" thickBot="1" x14ac:dyDescent="0.35">
      <c r="A43" s="50"/>
      <c r="B43" s="51"/>
      <c r="C43" s="50"/>
      <c r="D43" s="62">
        <f>SUM(F43:G43)</f>
        <v>283656.54000000004</v>
      </c>
      <c r="E43" s="63">
        <v>7817</v>
      </c>
      <c r="F43" s="54">
        <f>SUMIFS(I4:I20,B4:B20,7817)</f>
        <v>0</v>
      </c>
      <c r="G43" s="54">
        <f>SUMIFS(J4:J20,B4:B20,7817)</f>
        <v>283656.54000000004</v>
      </c>
      <c r="H43" s="50"/>
    </row>
    <row r="44" spans="1:10" ht="16.2" thickBot="1" x14ac:dyDescent="0.35">
      <c r="A44" s="50"/>
      <c r="B44" s="51"/>
      <c r="C44" s="50"/>
      <c r="D44" s="57">
        <f>SUM(D40:D43)</f>
        <v>16240609.379999999</v>
      </c>
      <c r="E44" s="50"/>
      <c r="F44" s="57">
        <f>SUM(F40:F43)</f>
        <v>8944445.8500000015</v>
      </c>
      <c r="G44" s="57">
        <f>SUM(G40:G43)</f>
        <v>7296163.5300000003</v>
      </c>
      <c r="H44" s="50"/>
    </row>
    <row r="45" spans="1:10" ht="15.6" x14ac:dyDescent="0.3">
      <c r="A45" s="50"/>
      <c r="B45" s="51"/>
      <c r="C45" s="50"/>
      <c r="D45" s="75"/>
      <c r="E45" s="50"/>
      <c r="F45" s="75"/>
      <c r="G45" s="75"/>
      <c r="H45" s="50"/>
    </row>
    <row r="46" spans="1:10" ht="15.6" x14ac:dyDescent="0.3">
      <c r="A46" s="50"/>
      <c r="B46" s="51"/>
      <c r="C46" s="50"/>
      <c r="D46" s="50"/>
      <c r="E46" s="50"/>
      <c r="F46" s="50"/>
      <c r="G46" s="50"/>
      <c r="H46" s="50"/>
    </row>
    <row r="47" spans="1:10" ht="16.8" x14ac:dyDescent="0.3">
      <c r="A47" s="50"/>
      <c r="B47" s="51"/>
      <c r="C47" s="50"/>
      <c r="D47" s="52" t="s">
        <v>64</v>
      </c>
      <c r="E47" s="58"/>
      <c r="F47" s="68">
        <v>205</v>
      </c>
      <c r="G47" s="69">
        <v>206</v>
      </c>
      <c r="H47" s="87"/>
    </row>
    <row r="48" spans="1:10" ht="15.6" x14ac:dyDescent="0.3">
      <c r="A48" s="50"/>
      <c r="B48" s="51"/>
      <c r="C48" s="50"/>
      <c r="D48" s="62">
        <f>SUM(F48:G48)</f>
        <v>47850.28</v>
      </c>
      <c r="E48" s="63">
        <v>7620</v>
      </c>
      <c r="F48" s="56">
        <f t="shared" ref="F48:G51" si="3">F32-F40</f>
        <v>0</v>
      </c>
      <c r="G48" s="56">
        <f t="shared" si="3"/>
        <v>47850.28</v>
      </c>
      <c r="H48" s="84"/>
    </row>
    <row r="49" spans="1:8" ht="15.6" x14ac:dyDescent="0.3">
      <c r="A49" s="50"/>
      <c r="B49" s="51"/>
      <c r="C49" s="50"/>
      <c r="D49" s="62">
        <f>SUM(F49:G49)</f>
        <v>273563.04999999935</v>
      </c>
      <c r="E49" s="63">
        <v>7630</v>
      </c>
      <c r="F49" s="56">
        <f t="shared" si="3"/>
        <v>14796.399999999907</v>
      </c>
      <c r="G49" s="56">
        <f t="shared" si="3"/>
        <v>258766.64999999944</v>
      </c>
      <c r="H49" s="84"/>
    </row>
    <row r="50" spans="1:8" ht="15.6" x14ac:dyDescent="0.3">
      <c r="A50" s="50"/>
      <c r="B50" s="51"/>
      <c r="C50" s="50"/>
      <c r="D50" s="62">
        <f>SUM(F50:G50)</f>
        <v>361262.62000000011</v>
      </c>
      <c r="E50" s="63">
        <v>7640</v>
      </c>
      <c r="F50" s="56">
        <f t="shared" si="3"/>
        <v>361262.62000000011</v>
      </c>
      <c r="G50" s="56">
        <f t="shared" si="3"/>
        <v>0</v>
      </c>
      <c r="H50" s="84"/>
    </row>
    <row r="51" spans="1:8" ht="16.2" thickBot="1" x14ac:dyDescent="0.35">
      <c r="A51" s="50"/>
      <c r="B51" s="51"/>
      <c r="C51" s="50"/>
      <c r="D51" s="62">
        <f>SUM(F51:G51)</f>
        <v>74488.599999999977</v>
      </c>
      <c r="E51" s="63">
        <v>7817</v>
      </c>
      <c r="F51" s="56">
        <f t="shared" si="3"/>
        <v>0</v>
      </c>
      <c r="G51" s="56">
        <f t="shared" si="3"/>
        <v>74488.599999999977</v>
      </c>
      <c r="H51" s="84"/>
    </row>
    <row r="52" spans="1:8" ht="16.2" thickBot="1" x14ac:dyDescent="0.35">
      <c r="A52" s="50"/>
      <c r="B52" s="51"/>
      <c r="C52" s="50"/>
      <c r="D52" s="57">
        <f>SUM(D48:D51)</f>
        <v>757164.54999999946</v>
      </c>
      <c r="E52" s="58"/>
      <c r="F52" s="244">
        <f>SUM(F48:F51)</f>
        <v>376059.02</v>
      </c>
      <c r="G52" s="244">
        <f>SUM(G48:G51)</f>
        <v>381105.52999999945</v>
      </c>
      <c r="H52" s="84"/>
    </row>
    <row r="53" spans="1:8" x14ac:dyDescent="0.3">
      <c r="F53" s="1"/>
      <c r="G53" s="1"/>
    </row>
    <row r="55" spans="1:8" ht="16.8" x14ac:dyDescent="0.3">
      <c r="D55" s="93" t="s">
        <v>71</v>
      </c>
      <c r="E55" s="58"/>
      <c r="F55" s="68">
        <v>205</v>
      </c>
      <c r="G55" s="69">
        <v>206</v>
      </c>
    </row>
    <row r="56" spans="1:8" ht="15.6" x14ac:dyDescent="0.3">
      <c r="D56" s="66">
        <f>F56+G56</f>
        <v>1</v>
      </c>
      <c r="E56" s="63">
        <v>7620</v>
      </c>
      <c r="F56" s="85">
        <v>0</v>
      </c>
      <c r="G56" s="85">
        <v>1</v>
      </c>
    </row>
    <row r="57" spans="1:8" ht="15.6" x14ac:dyDescent="0.3">
      <c r="D57" s="66">
        <f t="shared" ref="D57:D59" si="4">F57+G57</f>
        <v>6</v>
      </c>
      <c r="E57" s="63">
        <v>7630</v>
      </c>
      <c r="F57" s="85">
        <v>2</v>
      </c>
      <c r="G57" s="85">
        <v>4</v>
      </c>
    </row>
    <row r="58" spans="1:8" ht="15.6" x14ac:dyDescent="0.3">
      <c r="D58" s="94">
        <f t="shared" si="4"/>
        <v>8</v>
      </c>
      <c r="E58" s="63">
        <v>7640</v>
      </c>
      <c r="F58" s="85">
        <v>5</v>
      </c>
      <c r="G58" s="85">
        <v>3</v>
      </c>
    </row>
    <row r="59" spans="1:8" ht="16.2" thickBot="1" x14ac:dyDescent="0.35">
      <c r="D59" s="66">
        <f t="shared" si="4"/>
        <v>2</v>
      </c>
      <c r="E59" s="63">
        <v>7817</v>
      </c>
      <c r="F59" s="85">
        <v>0</v>
      </c>
      <c r="G59" s="85">
        <v>2</v>
      </c>
    </row>
    <row r="60" spans="1:8" ht="16.2" thickBot="1" x14ac:dyDescent="0.35">
      <c r="E60" s="58"/>
      <c r="F60" s="88">
        <f>SUM(F56:F59)</f>
        <v>7</v>
      </c>
      <c r="G60" s="88">
        <f>SUM(G56:G59)</f>
        <v>10</v>
      </c>
    </row>
  </sheetData>
  <pageMargins left="0.31496062992125984" right="0.31496062992125984" top="0.39370078740157483" bottom="0.3937007874015748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3"/>
  <sheetViews>
    <sheetView topLeftCell="A4" workbookViewId="0">
      <selection activeCell="G28" sqref="G28"/>
    </sheetView>
  </sheetViews>
  <sheetFormatPr defaultColWidth="8.88671875" defaultRowHeight="13.8" x14ac:dyDescent="0.25"/>
  <cols>
    <col min="1" max="1" width="6.6640625" style="525" customWidth="1"/>
    <col min="2" max="2" width="17.109375" style="525" customWidth="1"/>
    <col min="3" max="3" width="22.44140625" style="525" customWidth="1"/>
    <col min="4" max="4" width="21" style="525" customWidth="1"/>
    <col min="5" max="5" width="17.44140625" style="525" customWidth="1"/>
    <col min="6" max="7" width="19.6640625" style="525" customWidth="1"/>
    <col min="8" max="8" width="18.109375" style="525" customWidth="1"/>
    <col min="9" max="16384" width="8.88671875" style="525"/>
  </cols>
  <sheetData>
    <row r="1" spans="1:8" ht="20.399999999999999" x14ac:dyDescent="0.35">
      <c r="A1" s="454" t="s">
        <v>459</v>
      </c>
      <c r="B1" s="455"/>
      <c r="C1" s="455"/>
      <c r="D1" s="433"/>
      <c r="E1" s="455"/>
      <c r="F1" s="720"/>
      <c r="G1" s="38"/>
      <c r="H1" s="37"/>
    </row>
    <row r="2" spans="1:8" ht="21" customHeight="1" x14ac:dyDescent="0.25">
      <c r="A2" s="37"/>
      <c r="B2" s="132" t="s">
        <v>48</v>
      </c>
      <c r="C2" s="37"/>
      <c r="D2" s="37"/>
      <c r="E2" s="37"/>
      <c r="F2" s="37"/>
      <c r="G2" s="37"/>
      <c r="H2" s="37"/>
    </row>
    <row r="3" spans="1:8" ht="84.75" customHeight="1" x14ac:dyDescent="0.3">
      <c r="A3" s="39"/>
      <c r="B3" s="20"/>
      <c r="C3" s="40" t="s">
        <v>288</v>
      </c>
      <c r="D3" s="40" t="s">
        <v>289</v>
      </c>
      <c r="E3" s="40" t="s">
        <v>41</v>
      </c>
      <c r="F3" s="40" t="s">
        <v>42</v>
      </c>
      <c r="G3" s="40" t="s">
        <v>43</v>
      </c>
      <c r="H3" s="41" t="s">
        <v>14</v>
      </c>
    </row>
    <row r="4" spans="1:8" ht="16.8" x14ac:dyDescent="0.3">
      <c r="A4" s="42"/>
      <c r="B4" s="43" t="s">
        <v>44</v>
      </c>
      <c r="C4" s="295"/>
      <c r="D4" s="44"/>
      <c r="E4" s="45">
        <v>109800</v>
      </c>
      <c r="F4" s="45">
        <v>282000</v>
      </c>
      <c r="G4" s="45"/>
      <c r="H4" s="46">
        <f t="shared" ref="H4:H7" si="0">SUM(C4:G4)</f>
        <v>391800</v>
      </c>
    </row>
    <row r="5" spans="1:8" ht="16.8" x14ac:dyDescent="0.3">
      <c r="A5" s="42"/>
      <c r="B5" s="43" t="s">
        <v>45</v>
      </c>
      <c r="C5" s="296"/>
      <c r="D5" s="44"/>
      <c r="E5" s="45">
        <v>500007</v>
      </c>
      <c r="F5" s="45">
        <v>65700</v>
      </c>
      <c r="G5" s="45">
        <v>28000</v>
      </c>
      <c r="H5" s="46">
        <f t="shared" si="0"/>
        <v>593707</v>
      </c>
    </row>
    <row r="6" spans="1:8" ht="16.8" x14ac:dyDescent="0.3">
      <c r="A6" s="42"/>
      <c r="B6" s="43" t="s">
        <v>46</v>
      </c>
      <c r="C6" s="296"/>
      <c r="D6" s="44"/>
      <c r="E6" s="45">
        <v>1871911</v>
      </c>
      <c r="F6" s="45">
        <v>93000</v>
      </c>
      <c r="G6" s="45">
        <v>310500</v>
      </c>
      <c r="H6" s="46">
        <f t="shared" si="0"/>
        <v>2275411</v>
      </c>
    </row>
    <row r="7" spans="1:8" ht="17.399999999999999" thickBot="1" x14ac:dyDescent="0.35">
      <c r="A7" s="42"/>
      <c r="B7" s="43" t="s">
        <v>47</v>
      </c>
      <c r="C7" s="373">
        <v>703200</v>
      </c>
      <c r="D7" s="44">
        <v>40000</v>
      </c>
      <c r="E7" s="45">
        <v>41000</v>
      </c>
      <c r="F7" s="45">
        <v>5294035</v>
      </c>
      <c r="G7" s="44">
        <v>108000</v>
      </c>
      <c r="H7" s="46">
        <f t="shared" si="0"/>
        <v>6186235</v>
      </c>
    </row>
    <row r="8" spans="1:8" ht="18" thickBot="1" x14ac:dyDescent="0.35">
      <c r="A8" s="42" t="s">
        <v>14</v>
      </c>
      <c r="B8" s="43"/>
      <c r="C8" s="48">
        <f t="shared" ref="C8:F8" si="1">SUM(C4:C7)</f>
        <v>703200</v>
      </c>
      <c r="D8" s="48">
        <f t="shared" si="1"/>
        <v>40000</v>
      </c>
      <c r="E8" s="48">
        <f t="shared" si="1"/>
        <v>2522718</v>
      </c>
      <c r="F8" s="48">
        <f t="shared" si="1"/>
        <v>5734735</v>
      </c>
      <c r="G8" s="49">
        <f>SUM(G4:G7)</f>
        <v>446500</v>
      </c>
      <c r="H8" s="47">
        <f>SUM(H4:H7)</f>
        <v>9447153</v>
      </c>
    </row>
    <row r="10" spans="1:8" x14ac:dyDescent="0.25">
      <c r="A10" s="525" t="s">
        <v>374</v>
      </c>
    </row>
    <row r="14" spans="1:8" ht="27" customHeight="1" thickBot="1" x14ac:dyDescent="0.45">
      <c r="A14" s="271" t="s">
        <v>179</v>
      </c>
      <c r="B14" s="272"/>
      <c r="C14" s="272"/>
      <c r="D14" s="272"/>
      <c r="E14" s="272"/>
    </row>
    <row r="15" spans="1:8" ht="14.4" thickTop="1" x14ac:dyDescent="0.25">
      <c r="A15" s="525" t="s">
        <v>421</v>
      </c>
    </row>
    <row r="16" spans="1:8" x14ac:dyDescent="0.25">
      <c r="A16" s="525" t="s">
        <v>422</v>
      </c>
    </row>
    <row r="18" spans="1:5" ht="15.6" x14ac:dyDescent="0.3">
      <c r="A18" s="374" t="s">
        <v>460</v>
      </c>
      <c r="B18" s="375"/>
      <c r="C18" s="375"/>
      <c r="D18" s="273"/>
      <c r="E18" s="274"/>
    </row>
    <row r="19" spans="1:5" x14ac:dyDescent="0.25">
      <c r="A19" s="525" t="s">
        <v>461</v>
      </c>
      <c r="C19" s="527">
        <v>-2398609</v>
      </c>
    </row>
    <row r="20" spans="1:5" x14ac:dyDescent="0.25">
      <c r="A20" s="525" t="s">
        <v>56</v>
      </c>
      <c r="C20" s="197">
        <v>738000</v>
      </c>
      <c r="D20" s="276"/>
    </row>
    <row r="21" spans="1:5" ht="14.4" thickBot="1" x14ac:dyDescent="0.3">
      <c r="A21" s="151" t="s">
        <v>57</v>
      </c>
      <c r="B21" s="151"/>
      <c r="C21" s="275">
        <v>703200</v>
      </c>
      <c r="D21" s="146"/>
    </row>
    <row r="22" spans="1:5" ht="14.4" thickTop="1" x14ac:dyDescent="0.25">
      <c r="A22" s="147" t="s">
        <v>49</v>
      </c>
      <c r="B22" s="147"/>
      <c r="C22" s="428">
        <f>C19+C20-C21</f>
        <v>-2363809</v>
      </c>
      <c r="D22" s="276"/>
    </row>
    <row r="23" spans="1:5" x14ac:dyDescent="0.25">
      <c r="A23" s="147"/>
      <c r="B23" s="147"/>
      <c r="C23" s="148"/>
    </row>
    <row r="25" spans="1:5" ht="15" customHeight="1" x14ac:dyDescent="0.3">
      <c r="A25" s="163" t="s">
        <v>462</v>
      </c>
      <c r="B25" s="163"/>
      <c r="C25" s="163"/>
      <c r="D25" s="164"/>
    </row>
    <row r="26" spans="1:5" x14ac:dyDescent="0.25">
      <c r="A26" s="525" t="s">
        <v>50</v>
      </c>
      <c r="D26" s="520">
        <v>703200</v>
      </c>
    </row>
    <row r="27" spans="1:5" ht="14.4" thickBot="1" x14ac:dyDescent="0.3">
      <c r="A27" s="525" t="s">
        <v>51</v>
      </c>
      <c r="D27" s="521">
        <v>0</v>
      </c>
    </row>
    <row r="28" spans="1:5" ht="14.4" thickTop="1" x14ac:dyDescent="0.25">
      <c r="C28" s="149" t="s">
        <v>14</v>
      </c>
      <c r="D28" s="150">
        <f>SUM(D26:D27)</f>
        <v>703200</v>
      </c>
    </row>
    <row r="29" spans="1:5" x14ac:dyDescent="0.25">
      <c r="C29" s="149"/>
      <c r="D29" s="152"/>
    </row>
    <row r="30" spans="1:5" x14ac:dyDescent="0.25">
      <c r="C30" s="149"/>
      <c r="D30" s="152"/>
    </row>
    <row r="31" spans="1:5" x14ac:dyDescent="0.25">
      <c r="C31" s="149"/>
      <c r="D31" s="152"/>
    </row>
    <row r="32" spans="1:5" ht="27" customHeight="1" thickBot="1" x14ac:dyDescent="0.4">
      <c r="A32" s="376" t="s">
        <v>180</v>
      </c>
      <c r="B32" s="377"/>
      <c r="C32" s="377"/>
      <c r="D32" s="275"/>
      <c r="E32" s="377"/>
    </row>
    <row r="33" spans="1:6" ht="16.2" thickTop="1" x14ac:dyDescent="0.3">
      <c r="A33" s="97" t="s">
        <v>52</v>
      </c>
      <c r="B33" s="97"/>
      <c r="C33" s="97"/>
      <c r="D33" s="520"/>
    </row>
    <row r="34" spans="1:6" x14ac:dyDescent="0.25">
      <c r="B34" s="525" t="s">
        <v>53</v>
      </c>
      <c r="D34" s="520">
        <v>6880179</v>
      </c>
    </row>
    <row r="35" spans="1:6" ht="14.4" thickBot="1" x14ac:dyDescent="0.3">
      <c r="B35" s="525" t="s">
        <v>54</v>
      </c>
      <c r="D35" s="521">
        <f>3322000+874970+983179</f>
        <v>5180149</v>
      </c>
    </row>
    <row r="36" spans="1:6" ht="14.4" thickTop="1" x14ac:dyDescent="0.25">
      <c r="B36" s="525" t="s">
        <v>55</v>
      </c>
      <c r="D36" s="148">
        <f>D34-D35</f>
        <v>1700030</v>
      </c>
    </row>
    <row r="38" spans="1:6" x14ac:dyDescent="0.25">
      <c r="A38" s="426"/>
      <c r="B38" s="426"/>
      <c r="C38" s="426"/>
      <c r="D38" s="426"/>
      <c r="E38" s="426"/>
    </row>
    <row r="39" spans="1:6" x14ac:dyDescent="0.25">
      <c r="A39" s="362" t="s">
        <v>377</v>
      </c>
      <c r="B39" s="362"/>
      <c r="C39" s="362"/>
      <c r="D39" s="362"/>
      <c r="E39" s="362"/>
      <c r="F39" s="196"/>
    </row>
    <row r="40" spans="1:6" x14ac:dyDescent="0.25">
      <c r="A40" s="362" t="s">
        <v>424</v>
      </c>
      <c r="B40" s="362"/>
      <c r="C40" s="362"/>
      <c r="D40" s="634"/>
      <c r="E40" s="362"/>
      <c r="F40" s="196"/>
    </row>
    <row r="41" spans="1:6" x14ac:dyDescent="0.25">
      <c r="A41" s="426" t="s">
        <v>423</v>
      </c>
      <c r="B41" s="426"/>
      <c r="C41" s="426"/>
      <c r="D41" s="541"/>
      <c r="E41" s="426"/>
    </row>
    <row r="42" spans="1:6" x14ac:dyDescent="0.25">
      <c r="A42" s="426" t="s">
        <v>425</v>
      </c>
      <c r="B42" s="426"/>
      <c r="C42" s="426"/>
      <c r="D42" s="541"/>
      <c r="E42" s="426"/>
    </row>
    <row r="43" spans="1:6" x14ac:dyDescent="0.25">
      <c r="A43" s="426"/>
      <c r="B43" s="426"/>
      <c r="C43" s="426"/>
      <c r="D43" s="426"/>
      <c r="E43" s="426"/>
    </row>
  </sheetData>
  <pageMargins left="0.7" right="0.7" top="0.78740157499999996" bottom="0.78740157499999996" header="0.3" footer="0.3"/>
  <pageSetup paperSize="9"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2"/>
  <sheetViews>
    <sheetView workbookViewId="0">
      <selection activeCell="F1" sqref="F1"/>
    </sheetView>
  </sheetViews>
  <sheetFormatPr defaultColWidth="9.109375" defaultRowHeight="13.8" x14ac:dyDescent="0.25"/>
  <cols>
    <col min="1" max="1" width="32.6640625" style="525" customWidth="1"/>
    <col min="2" max="5" width="18.88671875" style="525" customWidth="1"/>
    <col min="6" max="6" width="16.5546875" style="525" customWidth="1"/>
    <col min="7" max="7" width="25.44140625" style="525" customWidth="1"/>
    <col min="8" max="16384" width="9.109375" style="525"/>
  </cols>
  <sheetData>
    <row r="1" spans="1:7" ht="21" x14ac:dyDescent="0.4">
      <c r="A1" s="280" t="s">
        <v>463</v>
      </c>
      <c r="B1" s="196"/>
      <c r="C1" s="196"/>
      <c r="D1" s="196"/>
      <c r="E1" s="553"/>
      <c r="F1" s="433"/>
    </row>
    <row r="2" spans="1:7" s="645" customFormat="1" ht="15.6" customHeight="1" x14ac:dyDescent="0.4">
      <c r="A2" s="650" t="s">
        <v>410</v>
      </c>
      <c r="B2" s="196"/>
      <c r="C2" s="196"/>
      <c r="D2" s="196"/>
      <c r="E2" s="553"/>
      <c r="F2" s="433"/>
    </row>
    <row r="3" spans="1:7" s="645" customFormat="1" ht="15.6" customHeight="1" x14ac:dyDescent="0.4">
      <c r="A3" s="650" t="s">
        <v>409</v>
      </c>
      <c r="B3" s="196"/>
      <c r="C3" s="196"/>
      <c r="D3" s="196"/>
      <c r="E3" s="553"/>
      <c r="F3" s="433"/>
    </row>
    <row r="5" spans="1:7" s="645" customFormat="1" x14ac:dyDescent="0.25"/>
    <row r="7" spans="1:7" ht="15.6" x14ac:dyDescent="0.3">
      <c r="A7" s="3" t="s">
        <v>10</v>
      </c>
      <c r="B7" s="2" t="s">
        <v>11</v>
      </c>
      <c r="C7" s="2" t="s">
        <v>12</v>
      </c>
      <c r="D7" s="2" t="s">
        <v>13</v>
      </c>
      <c r="E7" s="287" t="s">
        <v>14</v>
      </c>
      <c r="F7" s="4"/>
    </row>
    <row r="8" spans="1:7" ht="15.6" x14ac:dyDescent="0.3">
      <c r="A8" s="3"/>
      <c r="B8" s="279">
        <v>7620</v>
      </c>
      <c r="C8" s="279">
        <v>7630</v>
      </c>
      <c r="D8" s="279">
        <v>7640</v>
      </c>
      <c r="E8" s="4"/>
      <c r="F8" s="4"/>
    </row>
    <row r="9" spans="1:7" x14ac:dyDescent="0.25">
      <c r="F9" s="362"/>
    </row>
    <row r="10" spans="1:7" ht="15.6" x14ac:dyDescent="0.3">
      <c r="A10" s="530" t="s">
        <v>464</v>
      </c>
      <c r="B10" s="622">
        <v>18911</v>
      </c>
      <c r="C10" s="622">
        <v>309839</v>
      </c>
      <c r="D10" s="622">
        <v>1147005.32</v>
      </c>
      <c r="E10" s="6">
        <f>SUM(A10:D10)</f>
        <v>1475755.32</v>
      </c>
      <c r="F10" s="34"/>
      <c r="G10" s="281"/>
    </row>
    <row r="11" spans="1:7" ht="15.6" x14ac:dyDescent="0.3">
      <c r="A11" s="7" t="s">
        <v>15</v>
      </c>
      <c r="B11" s="624">
        <v>0</v>
      </c>
      <c r="C11" s="624">
        <v>0</v>
      </c>
      <c r="D11" s="624">
        <v>0</v>
      </c>
      <c r="E11" s="278">
        <f>SUM(A11:D11)</f>
        <v>0</v>
      </c>
      <c r="F11" s="363"/>
      <c r="G11" s="282"/>
    </row>
    <row r="12" spans="1:7" ht="15.6" x14ac:dyDescent="0.3">
      <c r="A12" s="7" t="s">
        <v>215</v>
      </c>
      <c r="B12" s="624">
        <v>0</v>
      </c>
      <c r="C12" s="624">
        <v>0</v>
      </c>
      <c r="D12" s="624">
        <v>0</v>
      </c>
      <c r="E12" s="278">
        <f>SUM(A12:D12)</f>
        <v>0</v>
      </c>
      <c r="F12" s="363"/>
      <c r="G12" s="282"/>
    </row>
    <row r="13" spans="1:7" x14ac:dyDescent="0.25">
      <c r="F13" s="362"/>
    </row>
    <row r="14" spans="1:7" ht="17.399999999999999" x14ac:dyDescent="0.3">
      <c r="E14" s="286">
        <f>E10+E11+E12</f>
        <v>1475755.32</v>
      </c>
      <c r="F14" s="364"/>
      <c r="G14" s="283"/>
    </row>
    <row r="15" spans="1:7" ht="9" customHeight="1" x14ac:dyDescent="0.25"/>
    <row r="16" spans="1:7" ht="22.5" customHeight="1" x14ac:dyDescent="0.25">
      <c r="A16" s="8" t="s">
        <v>16</v>
      </c>
      <c r="B16" s="284">
        <f>B10+B11+B12</f>
        <v>18911</v>
      </c>
      <c r="C16" s="284">
        <f t="shared" ref="C16:D16" si="0">C10+C11+C12</f>
        <v>309839</v>
      </c>
      <c r="D16" s="284">
        <f t="shared" si="0"/>
        <v>1147005.32</v>
      </c>
      <c r="E16" s="231"/>
      <c r="F16" s="231"/>
    </row>
    <row r="20" spans="1:7" x14ac:dyDescent="0.25">
      <c r="A20" s="285" t="s">
        <v>465</v>
      </c>
    </row>
    <row r="21" spans="1:7" x14ac:dyDescent="0.25">
      <c r="A21" s="196"/>
      <c r="B21" s="456"/>
      <c r="C21" s="456"/>
      <c r="D21" s="456"/>
      <c r="E21" s="245"/>
      <c r="F21" s="245"/>
      <c r="G21" s="245"/>
    </row>
    <row r="22" spans="1:7" x14ac:dyDescent="0.25">
      <c r="A22" s="196"/>
      <c r="B22" s="456"/>
      <c r="C22" s="196"/>
      <c r="D22" s="196"/>
    </row>
    <row r="23" spans="1:7" x14ac:dyDescent="0.25">
      <c r="A23" s="196"/>
      <c r="B23" s="456"/>
      <c r="C23" s="196"/>
      <c r="D23" s="196"/>
    </row>
    <row r="24" spans="1:7" x14ac:dyDescent="0.25">
      <c r="A24" s="196"/>
      <c r="B24" s="456"/>
      <c r="C24" s="196"/>
      <c r="D24" s="196"/>
    </row>
    <row r="25" spans="1:7" x14ac:dyDescent="0.25">
      <c r="A25" s="196"/>
      <c r="B25" s="456"/>
      <c r="C25" s="196"/>
      <c r="D25" s="196"/>
    </row>
    <row r="26" spans="1:7" x14ac:dyDescent="0.25">
      <c r="B26" s="245"/>
    </row>
    <row r="27" spans="1:7" x14ac:dyDescent="0.25">
      <c r="B27" s="245"/>
    </row>
    <row r="28" spans="1:7" x14ac:dyDescent="0.25">
      <c r="B28" s="245"/>
    </row>
    <row r="32" spans="1:7" ht="13.8" customHeight="1" x14ac:dyDescent="0.25"/>
  </sheetData>
  <pageMargins left="0.7" right="0.7" top="0.78740157499999996" bottom="0.78740157499999996" header="0.3" footer="0.3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1"/>
  <sheetViews>
    <sheetView zoomScale="95" zoomScaleNormal="95" workbookViewId="0">
      <selection activeCell="J32" sqref="J32"/>
    </sheetView>
  </sheetViews>
  <sheetFormatPr defaultColWidth="9.109375" defaultRowHeight="13.8" x14ac:dyDescent="0.25"/>
  <cols>
    <col min="1" max="1" width="20.88671875" style="144" customWidth="1"/>
    <col min="2" max="2" width="13.6640625" style="144" customWidth="1"/>
    <col min="3" max="3" width="16.33203125" style="144" customWidth="1"/>
    <col min="4" max="5" width="13.6640625" style="144" customWidth="1"/>
    <col min="6" max="6" width="16.5546875" style="144" customWidth="1"/>
    <col min="7" max="7" width="20" style="144" customWidth="1"/>
    <col min="8" max="16384" width="9.109375" style="144"/>
  </cols>
  <sheetData>
    <row r="1" spans="1:9" ht="20.399999999999999" x14ac:dyDescent="0.35">
      <c r="A1" s="280" t="s">
        <v>466</v>
      </c>
      <c r="B1" s="288"/>
      <c r="C1" s="288"/>
      <c r="D1" s="552"/>
      <c r="E1" s="335"/>
      <c r="F1" s="525"/>
      <c r="G1" s="276"/>
    </row>
    <row r="2" spans="1:9" ht="16.8" customHeight="1" x14ac:dyDescent="0.25">
      <c r="A2" s="274" t="s">
        <v>411</v>
      </c>
      <c r="B2" s="525"/>
      <c r="C2" s="525"/>
      <c r="D2" s="525"/>
      <c r="E2" s="525"/>
      <c r="F2" s="525"/>
    </row>
    <row r="3" spans="1:9" x14ac:dyDescent="0.25">
      <c r="A3" s="525"/>
      <c r="B3" s="525"/>
      <c r="C3" s="525"/>
      <c r="D3" s="525"/>
      <c r="E3" s="525"/>
      <c r="F3" s="525"/>
    </row>
    <row r="4" spans="1:9" ht="15.6" x14ac:dyDescent="0.3">
      <c r="A4" s="3" t="s">
        <v>17</v>
      </c>
      <c r="B4" s="2" t="s">
        <v>18</v>
      </c>
      <c r="C4" s="2" t="s">
        <v>11</v>
      </c>
      <c r="D4" s="2" t="s">
        <v>12</v>
      </c>
      <c r="E4" s="2" t="s">
        <v>13</v>
      </c>
      <c r="F4" s="287" t="s">
        <v>14</v>
      </c>
    </row>
    <row r="5" spans="1:9" ht="15.6" x14ac:dyDescent="0.3">
      <c r="A5" s="3"/>
      <c r="B5" s="279">
        <v>7817</v>
      </c>
      <c r="C5" s="279">
        <v>7620</v>
      </c>
      <c r="D5" s="279">
        <v>7630</v>
      </c>
      <c r="E5" s="279">
        <v>7640</v>
      </c>
      <c r="F5" s="4"/>
    </row>
    <row r="6" spans="1:9" x14ac:dyDescent="0.25">
      <c r="A6" s="525"/>
      <c r="B6" s="525"/>
      <c r="C6" s="525"/>
      <c r="D6" s="525"/>
      <c r="E6" s="525"/>
      <c r="F6" s="525"/>
    </row>
    <row r="7" spans="1:9" ht="16.2" customHeight="1" x14ac:dyDescent="0.3">
      <c r="A7" s="530" t="s">
        <v>464</v>
      </c>
      <c r="B7" s="622">
        <v>205625.21</v>
      </c>
      <c r="C7" s="622">
        <v>435697.73</v>
      </c>
      <c r="D7" s="622">
        <v>2117346.92</v>
      </c>
      <c r="E7" s="622">
        <v>4035264.12</v>
      </c>
      <c r="F7" s="6">
        <f t="shared" ref="F7:F12" si="0">SUM(B7:E7)</f>
        <v>6793933.9800000004</v>
      </c>
      <c r="G7" s="293"/>
      <c r="H7" s="196"/>
      <c r="I7" s="196"/>
    </row>
    <row r="8" spans="1:9" ht="16.2" customHeight="1" x14ac:dyDescent="0.3">
      <c r="A8" s="530" t="s">
        <v>467</v>
      </c>
      <c r="B8" s="622">
        <v>465</v>
      </c>
      <c r="C8" s="622">
        <v>34051</v>
      </c>
      <c r="D8" s="622">
        <v>342893</v>
      </c>
      <c r="E8" s="622">
        <v>95492</v>
      </c>
      <c r="F8" s="6">
        <f t="shared" si="0"/>
        <v>472901</v>
      </c>
      <c r="G8" s="293"/>
      <c r="H8" s="196"/>
      <c r="I8" s="196"/>
    </row>
    <row r="9" spans="1:9" ht="16.2" customHeight="1" x14ac:dyDescent="0.3">
      <c r="A9" s="530" t="s">
        <v>290</v>
      </c>
      <c r="B9" s="622"/>
      <c r="C9" s="622"/>
      <c r="D9" s="622"/>
      <c r="E9" s="622"/>
      <c r="F9" s="32">
        <f t="shared" si="0"/>
        <v>0</v>
      </c>
      <c r="G9" s="496"/>
      <c r="H9" s="196"/>
      <c r="I9" s="196"/>
    </row>
    <row r="10" spans="1:9" ht="16.2" customHeight="1" x14ac:dyDescent="0.3">
      <c r="A10" s="531" t="s">
        <v>291</v>
      </c>
      <c r="B10" s="622"/>
      <c r="C10" s="622">
        <v>-56674.036999999997</v>
      </c>
      <c r="D10" s="624">
        <v>-147982.20699999999</v>
      </c>
      <c r="E10" s="622">
        <v>-110199.516</v>
      </c>
      <c r="F10" s="495">
        <f t="shared" si="0"/>
        <v>-314855.76</v>
      </c>
      <c r="G10" s="778">
        <f>SUM(F10:F12)</f>
        <v>-571092.98</v>
      </c>
      <c r="H10" s="196"/>
      <c r="I10" s="196"/>
    </row>
    <row r="11" spans="1:9" ht="16.2" customHeight="1" x14ac:dyDescent="0.3">
      <c r="A11" s="531" t="s">
        <v>15</v>
      </c>
      <c r="B11" s="624">
        <f>-100000-23000-692.22-23545</f>
        <v>-147237.22</v>
      </c>
      <c r="C11" s="624"/>
      <c r="D11" s="624">
        <v>-109000</v>
      </c>
      <c r="E11" s="624"/>
      <c r="F11" s="495">
        <f t="shared" si="0"/>
        <v>-256237.22</v>
      </c>
      <c r="G11" s="779"/>
      <c r="H11" s="196"/>
      <c r="I11" s="196"/>
    </row>
    <row r="12" spans="1:9" ht="16.2" customHeight="1" x14ac:dyDescent="0.3">
      <c r="A12" s="531" t="s">
        <v>216</v>
      </c>
      <c r="B12" s="624"/>
      <c r="C12" s="624"/>
      <c r="D12" s="624"/>
      <c r="E12" s="624"/>
      <c r="F12" s="495">
        <f t="shared" si="0"/>
        <v>0</v>
      </c>
      <c r="G12" s="779"/>
      <c r="H12" s="294"/>
      <c r="I12" s="294"/>
    </row>
    <row r="13" spans="1:9" x14ac:dyDescent="0.25">
      <c r="A13" s="525"/>
      <c r="B13" s="289"/>
      <c r="C13" s="289"/>
      <c r="D13" s="289"/>
      <c r="E13" s="289"/>
      <c r="F13" s="525"/>
    </row>
    <row r="14" spans="1:9" ht="17.399999999999999" x14ac:dyDescent="0.3">
      <c r="A14" s="525"/>
      <c r="B14" s="520"/>
      <c r="C14" s="520"/>
      <c r="D14" s="520"/>
      <c r="E14" s="520"/>
      <c r="F14" s="292">
        <f>SUM(F7:F12)</f>
        <v>6695742.0000000009</v>
      </c>
      <c r="G14" s="231"/>
    </row>
    <row r="15" spans="1:9" ht="15.6" x14ac:dyDescent="0.3">
      <c r="A15" s="525"/>
      <c r="B15" s="520"/>
      <c r="C15" s="520"/>
      <c r="D15" s="520"/>
      <c r="E15" s="520"/>
      <c r="F15" s="290"/>
    </row>
    <row r="16" spans="1:9" ht="27" customHeight="1" x14ac:dyDescent="0.25">
      <c r="A16" s="8" t="s">
        <v>16</v>
      </c>
      <c r="B16" s="284">
        <f>SUM(B7:B12)</f>
        <v>58852.989999999991</v>
      </c>
      <c r="C16" s="284">
        <f t="shared" ref="C16:E16" si="1">SUM(C7:C12)</f>
        <v>413074.69299999997</v>
      </c>
      <c r="D16" s="284">
        <f t="shared" si="1"/>
        <v>2203257.713</v>
      </c>
      <c r="E16" s="284">
        <f t="shared" si="1"/>
        <v>4020556.6040000003</v>
      </c>
      <c r="F16" s="291"/>
    </row>
    <row r="17" spans="1:6" x14ac:dyDescent="0.25">
      <c r="A17" s="525"/>
      <c r="B17" s="525"/>
      <c r="C17" s="525"/>
      <c r="D17" s="525"/>
      <c r="E17" s="525"/>
      <c r="F17" s="525"/>
    </row>
    <row r="18" spans="1:6" x14ac:dyDescent="0.25">
      <c r="A18" s="525"/>
      <c r="B18" s="525"/>
      <c r="C18" s="525"/>
      <c r="D18" s="525"/>
      <c r="E18" s="525"/>
      <c r="F18" s="525"/>
    </row>
    <row r="19" spans="1:6" ht="14.4" x14ac:dyDescent="0.3">
      <c r="A19" s="285" t="s">
        <v>465</v>
      </c>
      <c r="B19" s="525"/>
      <c r="C19" s="1"/>
      <c r="D19" s="595"/>
      <c r="E19" s="595"/>
      <c r="F19" s="525"/>
    </row>
    <row r="20" spans="1:6" ht="14.4" x14ac:dyDescent="0.3">
      <c r="A20" s="623">
        <v>7817</v>
      </c>
      <c r="B20" s="623" t="s">
        <v>468</v>
      </c>
      <c r="C20" s="642"/>
      <c r="D20" s="642"/>
      <c r="E20" s="525"/>
      <c r="F20" s="525"/>
    </row>
    <row r="21" spans="1:6" ht="14.4" x14ac:dyDescent="0.3">
      <c r="A21" s="623">
        <v>7817</v>
      </c>
      <c r="B21" s="623" t="s">
        <v>469</v>
      </c>
      <c r="C21" s="642"/>
      <c r="D21" s="642"/>
      <c r="E21" s="525"/>
      <c r="F21" s="525"/>
    </row>
    <row r="22" spans="1:6" ht="14.4" x14ac:dyDescent="0.3">
      <c r="A22" s="623">
        <v>7817</v>
      </c>
      <c r="B22" s="623" t="s">
        <v>470</v>
      </c>
      <c r="C22" s="645"/>
      <c r="D22" s="645"/>
      <c r="E22" s="525"/>
      <c r="F22" s="525"/>
    </row>
    <row r="23" spans="1:6" s="525" customFormat="1" ht="14.4" x14ac:dyDescent="0.3">
      <c r="A23" s="623">
        <v>7817</v>
      </c>
      <c r="B23" s="623" t="s">
        <v>471</v>
      </c>
      <c r="C23" s="642"/>
      <c r="D23" s="642"/>
    </row>
    <row r="24" spans="1:6" s="525" customFormat="1" ht="14.4" x14ac:dyDescent="0.3">
      <c r="A24" s="623">
        <v>7630</v>
      </c>
      <c r="B24" s="623" t="s">
        <v>472</v>
      </c>
      <c r="C24" s="642"/>
      <c r="D24" s="642"/>
    </row>
    <row r="25" spans="1:6" s="525" customFormat="1" ht="14.4" x14ac:dyDescent="0.3">
      <c r="A25" s="623">
        <v>7817</v>
      </c>
      <c r="B25" s="623" t="s">
        <v>473</v>
      </c>
      <c r="C25" s="642"/>
      <c r="D25" s="642"/>
    </row>
    <row r="26" spans="1:6" s="525" customFormat="1" ht="14.4" x14ac:dyDescent="0.3">
      <c r="A26" s="623">
        <v>7817</v>
      </c>
      <c r="B26" s="623" t="s">
        <v>474</v>
      </c>
      <c r="C26" s="642"/>
      <c r="D26" s="642"/>
    </row>
    <row r="27" spans="1:6" ht="14.4" x14ac:dyDescent="0.3">
      <c r="A27" s="623">
        <v>7817</v>
      </c>
      <c r="B27" s="623" t="s">
        <v>507</v>
      </c>
      <c r="C27" s="642"/>
      <c r="D27" s="642"/>
      <c r="E27" s="525"/>
      <c r="F27" s="525"/>
    </row>
    <row r="28" spans="1:6" ht="14.4" x14ac:dyDescent="0.3">
      <c r="A28" s="623">
        <v>7817</v>
      </c>
      <c r="B28" s="623" t="s">
        <v>508</v>
      </c>
      <c r="C28" s="642"/>
      <c r="D28" s="642"/>
      <c r="E28" s="525"/>
      <c r="F28" s="525"/>
    </row>
    <row r="29" spans="1:6" ht="14.4" x14ac:dyDescent="0.3">
      <c r="A29" s="525"/>
      <c r="B29" s="425"/>
      <c r="C29" s="595"/>
      <c r="D29" s="525"/>
      <c r="E29" s="525"/>
      <c r="F29" s="525"/>
    </row>
    <row r="30" spans="1:6" x14ac:dyDescent="0.25">
      <c r="A30" s="525"/>
      <c r="B30" s="525"/>
      <c r="C30" s="525"/>
      <c r="D30" s="525"/>
      <c r="E30" s="525"/>
      <c r="F30" s="525"/>
    </row>
    <row r="31" spans="1:6" x14ac:dyDescent="0.25">
      <c r="A31" s="525"/>
      <c r="B31" s="525"/>
      <c r="C31" s="525"/>
      <c r="D31" s="525"/>
      <c r="E31" s="525"/>
      <c r="F31" s="525"/>
    </row>
    <row r="32" spans="1:6" x14ac:dyDescent="0.25">
      <c r="A32" s="285" t="s">
        <v>373</v>
      </c>
      <c r="B32" s="525"/>
      <c r="C32" s="525"/>
      <c r="D32" s="231"/>
      <c r="E32" s="525"/>
      <c r="F32" s="525"/>
    </row>
    <row r="33" spans="1:7" x14ac:dyDescent="0.25">
      <c r="A33" s="525" t="s">
        <v>273</v>
      </c>
      <c r="B33" s="231"/>
      <c r="C33" s="231"/>
      <c r="D33" s="525"/>
      <c r="E33" s="525"/>
      <c r="F33" s="525"/>
    </row>
    <row r="34" spans="1:7" x14ac:dyDescent="0.25">
      <c r="A34" s="525"/>
      <c r="B34" s="525"/>
      <c r="C34" s="525"/>
      <c r="D34" s="525"/>
      <c r="E34" s="525"/>
      <c r="F34" s="525"/>
    </row>
    <row r="35" spans="1:7" x14ac:dyDescent="0.25">
      <c r="A35" s="525" t="s">
        <v>270</v>
      </c>
      <c r="B35" s="231">
        <f>-F10</f>
        <v>314855.76</v>
      </c>
      <c r="C35" s="525"/>
      <c r="D35" s="525"/>
      <c r="E35" s="525"/>
      <c r="F35" s="525"/>
    </row>
    <row r="36" spans="1:7" ht="16.2" thickBot="1" x14ac:dyDescent="0.35">
      <c r="A36" s="468"/>
      <c r="B36" s="469">
        <v>1</v>
      </c>
      <c r="C36" s="468"/>
      <c r="D36" s="525"/>
      <c r="E36" s="525"/>
      <c r="F36" s="156"/>
      <c r="G36" s="165"/>
    </row>
    <row r="37" spans="1:7" ht="15.6" x14ac:dyDescent="0.3">
      <c r="A37" s="525" t="s">
        <v>271</v>
      </c>
      <c r="B37" s="525"/>
      <c r="C37" s="525" t="s">
        <v>272</v>
      </c>
      <c r="D37" s="525"/>
      <c r="E37" s="525"/>
      <c r="F37" s="156"/>
      <c r="G37" s="165"/>
    </row>
    <row r="38" spans="1:7" ht="15.6" x14ac:dyDescent="0.3">
      <c r="A38" s="466" t="s">
        <v>11</v>
      </c>
      <c r="B38" s="467">
        <v>0.18</v>
      </c>
      <c r="C38" s="629">
        <f>B38*B35</f>
        <v>56674.036800000002</v>
      </c>
      <c r="D38" s="525"/>
      <c r="E38" s="525"/>
      <c r="F38" s="156"/>
      <c r="G38" s="165"/>
    </row>
    <row r="39" spans="1:7" x14ac:dyDescent="0.25">
      <c r="A39" s="466" t="s">
        <v>12</v>
      </c>
      <c r="B39" s="467">
        <v>0.47</v>
      </c>
      <c r="C39" s="629">
        <f>B39*B35</f>
        <v>147982.2072</v>
      </c>
      <c r="D39" s="525"/>
      <c r="E39" s="525"/>
      <c r="F39" s="525"/>
    </row>
    <row r="40" spans="1:7" ht="14.4" thickBot="1" x14ac:dyDescent="0.3">
      <c r="A40" s="470" t="s">
        <v>13</v>
      </c>
      <c r="B40" s="469">
        <v>0.35</v>
      </c>
      <c r="C40" s="630">
        <f>B40*B35</f>
        <v>110199.516</v>
      </c>
      <c r="D40" s="525"/>
      <c r="E40" s="525"/>
      <c r="F40" s="525"/>
    </row>
    <row r="41" spans="1:7" x14ac:dyDescent="0.25">
      <c r="A41" s="525"/>
      <c r="B41" s="525"/>
      <c r="C41" s="629">
        <f>SUM(C38:C40)</f>
        <v>314855.76</v>
      </c>
      <c r="D41" s="525"/>
      <c r="E41" s="525"/>
      <c r="F41" s="525"/>
    </row>
  </sheetData>
  <mergeCells count="1">
    <mergeCell ref="G10:G12"/>
  </mergeCells>
  <pageMargins left="0.7" right="0.7" top="0.78740157499999996" bottom="0.78740157499999996" header="0.3" footer="0.3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0"/>
  <sheetViews>
    <sheetView tabSelected="1" workbookViewId="0">
      <selection activeCell="E23" sqref="E23"/>
    </sheetView>
  </sheetViews>
  <sheetFormatPr defaultColWidth="9.109375" defaultRowHeight="15.6" x14ac:dyDescent="0.3"/>
  <cols>
    <col min="1" max="1" width="12.109375" style="92" customWidth="1"/>
    <col min="2" max="2" width="9.109375" style="92"/>
    <col min="3" max="8" width="15.6640625" style="92" customWidth="1"/>
    <col min="9" max="16384" width="9.109375" style="92"/>
  </cols>
  <sheetData>
    <row r="1" spans="1:8" ht="20.399999999999999" x14ac:dyDescent="0.35">
      <c r="A1" s="310" t="s">
        <v>375</v>
      </c>
      <c r="G1" s="335"/>
      <c r="H1" s="633"/>
    </row>
    <row r="2" spans="1:8" ht="12.6" customHeight="1" x14ac:dyDescent="0.3">
      <c r="A2" s="631" t="s">
        <v>376</v>
      </c>
      <c r="G2" s="335"/>
    </row>
    <row r="3" spans="1:8" ht="16.2" thickBot="1" x14ac:dyDescent="0.35"/>
    <row r="4" spans="1:8" ht="16.2" thickBot="1" x14ac:dyDescent="0.35">
      <c r="A4" s="312" t="s">
        <v>183</v>
      </c>
      <c r="B4" s="313">
        <v>7620</v>
      </c>
      <c r="C4" s="632"/>
      <c r="D4" s="632"/>
      <c r="E4" s="632"/>
      <c r="F4" s="632"/>
      <c r="G4" s="632"/>
      <c r="H4" s="632"/>
    </row>
    <row r="5" spans="1:8" x14ac:dyDescent="0.3">
      <c r="A5" s="780" t="s">
        <v>184</v>
      </c>
      <c r="B5" s="780"/>
      <c r="C5" s="314">
        <v>106</v>
      </c>
      <c r="D5" s="314">
        <v>117</v>
      </c>
      <c r="E5" s="314">
        <v>115</v>
      </c>
      <c r="F5" s="314" t="s">
        <v>185</v>
      </c>
      <c r="G5" s="314" t="s">
        <v>186</v>
      </c>
      <c r="H5" s="314" t="s">
        <v>187</v>
      </c>
    </row>
    <row r="6" spans="1:8" x14ac:dyDescent="0.3">
      <c r="A6" s="781" t="s">
        <v>188</v>
      </c>
      <c r="B6" s="781"/>
      <c r="C6" s="315">
        <f>'Rozpočet FMIMS'!B5</f>
        <v>7985014.9415699579</v>
      </c>
      <c r="D6" s="316">
        <f>'117'!D21</f>
        <v>8533754</v>
      </c>
      <c r="E6" s="315">
        <f>SUM(SGS!H13:H13)</f>
        <v>139230</v>
      </c>
      <c r="F6" s="315">
        <f>Projekty!D47</f>
        <v>4131520</v>
      </c>
      <c r="G6" s="315">
        <f>'Doplňková činnost'!D32</f>
        <v>52200</v>
      </c>
      <c r="H6" s="315">
        <f>'Ostatní činnost'!G4</f>
        <v>2080333.66</v>
      </c>
    </row>
    <row r="8" spans="1:8" ht="16.2" thickBot="1" x14ac:dyDescent="0.35"/>
    <row r="9" spans="1:8" ht="16.2" thickBot="1" x14ac:dyDescent="0.35">
      <c r="A9" s="318" t="s">
        <v>183</v>
      </c>
      <c r="B9" s="319">
        <v>7630</v>
      </c>
    </row>
    <row r="10" spans="1:8" x14ac:dyDescent="0.3">
      <c r="A10" s="782" t="s">
        <v>184</v>
      </c>
      <c r="B10" s="782"/>
      <c r="C10" s="320">
        <v>106</v>
      </c>
      <c r="D10" s="320">
        <v>117</v>
      </c>
      <c r="E10" s="320">
        <v>115</v>
      </c>
      <c r="F10" s="320" t="s">
        <v>185</v>
      </c>
      <c r="G10" s="320" t="s">
        <v>186</v>
      </c>
      <c r="H10" s="320" t="s">
        <v>187</v>
      </c>
    </row>
    <row r="11" spans="1:8" x14ac:dyDescent="0.3">
      <c r="A11" s="783" t="s">
        <v>188</v>
      </c>
      <c r="B11" s="783"/>
      <c r="C11" s="315">
        <f>'Rozpočet FMIMS'!B6</f>
        <v>20511909.190490272</v>
      </c>
      <c r="D11" s="316">
        <f>'117'!E21</f>
        <v>9596819</v>
      </c>
      <c r="E11" s="317">
        <f>SUM(SGS!H14:H17)</f>
        <v>716501.14</v>
      </c>
      <c r="F11" s="315">
        <f>Projekty!D48</f>
        <v>16577209.09</v>
      </c>
      <c r="G11" s="315">
        <f>'Doplňková činnost'!D33</f>
        <v>6820855.9199999999</v>
      </c>
      <c r="H11" s="315">
        <f>'Ostatní činnost'!G6</f>
        <v>51750</v>
      </c>
    </row>
    <row r="13" spans="1:8" ht="16.2" thickBot="1" x14ac:dyDescent="0.35"/>
    <row r="14" spans="1:8" ht="16.2" thickBot="1" x14ac:dyDescent="0.35">
      <c r="A14" s="321" t="s">
        <v>183</v>
      </c>
      <c r="B14" s="322">
        <v>7640</v>
      </c>
    </row>
    <row r="15" spans="1:8" x14ac:dyDescent="0.3">
      <c r="A15" s="784" t="s">
        <v>184</v>
      </c>
      <c r="B15" s="784"/>
      <c r="C15" s="323">
        <v>106</v>
      </c>
      <c r="D15" s="323">
        <v>117</v>
      </c>
      <c r="E15" s="323">
        <v>115</v>
      </c>
      <c r="F15" s="323" t="s">
        <v>185</v>
      </c>
      <c r="G15" s="323" t="s">
        <v>186</v>
      </c>
      <c r="H15" s="323" t="s">
        <v>187</v>
      </c>
    </row>
    <row r="16" spans="1:8" x14ac:dyDescent="0.3">
      <c r="A16" s="786" t="s">
        <v>188</v>
      </c>
      <c r="B16" s="786"/>
      <c r="C16" s="315">
        <f>'Rozpočet FMIMS'!B7</f>
        <v>16160009.116470363</v>
      </c>
      <c r="D16" s="316">
        <f>'117'!F21</f>
        <v>8781916</v>
      </c>
      <c r="E16" s="315">
        <f>SUM(SGS!H18:H30)</f>
        <v>3041714.56</v>
      </c>
      <c r="F16" s="315">
        <f>Projekty!D49</f>
        <v>26688205.259999998</v>
      </c>
      <c r="G16" s="315">
        <f>'Doplňková činnost'!D34</f>
        <v>9766572.870000001</v>
      </c>
      <c r="H16" s="315">
        <v>0</v>
      </c>
    </row>
    <row r="18" spans="1:8" ht="16.2" thickBot="1" x14ac:dyDescent="0.35"/>
    <row r="19" spans="1:8" ht="16.2" thickBot="1" x14ac:dyDescent="0.35">
      <c r="A19" s="324" t="s">
        <v>183</v>
      </c>
      <c r="B19" s="325">
        <v>7817</v>
      </c>
    </row>
    <row r="20" spans="1:8" x14ac:dyDescent="0.3">
      <c r="A20" s="787" t="s">
        <v>184</v>
      </c>
      <c r="B20" s="787"/>
      <c r="C20" s="326">
        <v>106</v>
      </c>
      <c r="D20" s="326">
        <v>117</v>
      </c>
      <c r="E20" s="326">
        <v>115</v>
      </c>
      <c r="F20" s="326" t="s">
        <v>185</v>
      </c>
      <c r="G20" s="326" t="s">
        <v>186</v>
      </c>
      <c r="H20" s="326" t="s">
        <v>187</v>
      </c>
    </row>
    <row r="21" spans="1:8" x14ac:dyDescent="0.3">
      <c r="A21" s="788" t="s">
        <v>188</v>
      </c>
      <c r="B21" s="788"/>
      <c r="C21" s="315">
        <f>'Rozpočet FMIMS'!B9+'Rozpočet FMIMS'!B10</f>
        <v>10086906.927192222</v>
      </c>
      <c r="D21" s="316">
        <f>'117'!G21</f>
        <v>250000</v>
      </c>
      <c r="E21" s="315">
        <f>SUM(SGS!H32:H33)</f>
        <v>336872</v>
      </c>
      <c r="F21" s="315">
        <f>Projekty!D50</f>
        <v>967096.96</v>
      </c>
      <c r="G21" s="315">
        <f>'Doplňková činnost'!D35</f>
        <v>358145.14</v>
      </c>
      <c r="H21" s="315">
        <v>0</v>
      </c>
    </row>
    <row r="22" spans="1:8" ht="16.2" thickBot="1" x14ac:dyDescent="0.35"/>
    <row r="23" spans="1:8" ht="23.25" customHeight="1" thickBot="1" x14ac:dyDescent="0.35">
      <c r="A23" s="789" t="s">
        <v>14</v>
      </c>
      <c r="B23" s="789"/>
      <c r="C23" s="327">
        <f>C6+C11+C16+C21</f>
        <v>54743840.175722823</v>
      </c>
      <c r="D23" s="328">
        <f t="shared" ref="D23:H23" si="0">D6+D11+D16+D21</f>
        <v>27162489</v>
      </c>
      <c r="E23" s="328">
        <f t="shared" si="0"/>
        <v>4234317.7</v>
      </c>
      <c r="F23" s="328">
        <f t="shared" si="0"/>
        <v>48364031.309999995</v>
      </c>
      <c r="G23" s="328">
        <f t="shared" si="0"/>
        <v>16997773.93</v>
      </c>
      <c r="H23" s="329">
        <f t="shared" si="0"/>
        <v>2132083.66</v>
      </c>
    </row>
    <row r="27" spans="1:8" x14ac:dyDescent="0.3">
      <c r="A27" s="785" t="s">
        <v>189</v>
      </c>
      <c r="B27" s="785"/>
      <c r="C27" s="785"/>
      <c r="D27" s="311">
        <f>SUM(C23:E23)</f>
        <v>86140646.875722826</v>
      </c>
    </row>
    <row r="28" spans="1:8" x14ac:dyDescent="0.3">
      <c r="A28" s="785" t="s">
        <v>225</v>
      </c>
      <c r="B28" s="785"/>
      <c r="C28" s="785"/>
      <c r="D28" s="311">
        <f>F23</f>
        <v>48364031.309999995</v>
      </c>
    </row>
    <row r="29" spans="1:8" ht="16.2" thickBot="1" x14ac:dyDescent="0.35">
      <c r="A29" s="785" t="s">
        <v>238</v>
      </c>
      <c r="B29" s="785"/>
      <c r="C29" s="785"/>
      <c r="D29" s="330">
        <f>G23+H23</f>
        <v>19129857.59</v>
      </c>
    </row>
    <row r="30" spans="1:8" ht="16.2" thickTop="1" x14ac:dyDescent="0.3">
      <c r="C30" s="97" t="s">
        <v>14</v>
      </c>
      <c r="D30" s="340">
        <f>SUM(D27:D29)</f>
        <v>153634535.77572283</v>
      </c>
    </row>
  </sheetData>
  <mergeCells count="12">
    <mergeCell ref="A28:C28"/>
    <mergeCell ref="A29:C29"/>
    <mergeCell ref="A16:B16"/>
    <mergeCell ref="A20:B20"/>
    <mergeCell ref="A21:B21"/>
    <mergeCell ref="A23:B23"/>
    <mergeCell ref="A27:C27"/>
    <mergeCell ref="A5:B5"/>
    <mergeCell ref="A6:B6"/>
    <mergeCell ref="A10:B10"/>
    <mergeCell ref="A11:B11"/>
    <mergeCell ref="A15:B15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A4" workbookViewId="0">
      <selection activeCell="L1" sqref="L1"/>
    </sheetView>
  </sheetViews>
  <sheetFormatPr defaultColWidth="10.33203125" defaultRowHeight="15.6" x14ac:dyDescent="0.3"/>
  <cols>
    <col min="1" max="1" width="26.88671875" style="107" customWidth="1"/>
    <col min="2" max="9" width="8.6640625" style="20" customWidth="1"/>
    <col min="10" max="10" width="9.88671875" style="20" customWidth="1"/>
    <col min="11" max="11" width="12.44140625" style="20" hidden="1" customWidth="1"/>
    <col min="12" max="12" width="10.44140625" style="20" customWidth="1"/>
    <col min="13" max="16384" width="10.33203125" style="20"/>
  </cols>
  <sheetData>
    <row r="1" spans="1:18" ht="20.399999999999999" x14ac:dyDescent="0.35">
      <c r="A1" s="750" t="s">
        <v>274</v>
      </c>
      <c r="B1" s="750"/>
      <c r="C1" s="750"/>
      <c r="D1" s="750"/>
      <c r="E1" s="750"/>
      <c r="F1" s="750"/>
      <c r="G1" s="750"/>
      <c r="H1" s="750"/>
      <c r="I1" s="750"/>
      <c r="J1" s="751"/>
      <c r="L1" s="632"/>
    </row>
    <row r="2" spans="1:18" ht="20.399999999999999" x14ac:dyDescent="0.35">
      <c r="A2" s="750" t="s">
        <v>428</v>
      </c>
      <c r="B2" s="750"/>
      <c r="C2" s="750"/>
      <c r="D2" s="750"/>
      <c r="E2" s="750"/>
      <c r="F2" s="750"/>
      <c r="G2" s="750"/>
      <c r="H2" s="750"/>
      <c r="I2" s="750"/>
      <c r="J2" s="751"/>
    </row>
    <row r="3" spans="1:18" x14ac:dyDescent="0.3">
      <c r="A3" s="752" t="s">
        <v>429</v>
      </c>
      <c r="B3" s="753"/>
      <c r="C3" s="753"/>
      <c r="D3" s="753"/>
      <c r="E3" s="753"/>
      <c r="F3" s="753"/>
      <c r="G3" s="753"/>
      <c r="H3" s="753"/>
      <c r="I3" s="753"/>
      <c r="J3" s="753"/>
    </row>
    <row r="4" spans="1:18" x14ac:dyDescent="0.3">
      <c r="A4" s="654"/>
      <c r="B4" s="654"/>
      <c r="C4" s="654"/>
      <c r="D4" s="654"/>
      <c r="E4" s="654"/>
      <c r="F4" s="654"/>
      <c r="G4" s="654"/>
      <c r="H4" s="654"/>
      <c r="I4" s="654"/>
      <c r="J4" s="655"/>
    </row>
    <row r="5" spans="1:18" x14ac:dyDescent="0.3">
      <c r="B5" s="597"/>
      <c r="C5" s="597"/>
      <c r="D5" s="597"/>
      <c r="E5" s="597"/>
      <c r="F5" s="597"/>
      <c r="G5" s="597"/>
      <c r="H5" s="597"/>
      <c r="I5" s="597"/>
    </row>
    <row r="6" spans="1:18" x14ac:dyDescent="0.3">
      <c r="B6" s="597"/>
      <c r="C6" s="597"/>
      <c r="D6" s="597"/>
      <c r="E6" s="597"/>
      <c r="F6" s="597"/>
      <c r="G6" s="597"/>
      <c r="H6" s="597"/>
      <c r="I6" s="597"/>
    </row>
    <row r="7" spans="1:18" ht="60" customHeight="1" x14ac:dyDescent="0.3">
      <c r="A7" s="748" t="s">
        <v>430</v>
      </c>
      <c r="B7" s="749"/>
      <c r="C7" s="749"/>
      <c r="D7" s="749"/>
      <c r="E7" s="749"/>
      <c r="F7" s="749"/>
      <c r="G7" s="749"/>
      <c r="H7" s="749"/>
      <c r="I7" s="749"/>
      <c r="J7" s="749"/>
    </row>
    <row r="8" spans="1:18" ht="16.5" customHeight="1" x14ac:dyDescent="0.3">
      <c r="A8" s="636"/>
      <c r="B8" s="748" t="s">
        <v>431</v>
      </c>
      <c r="C8" s="749"/>
      <c r="D8" s="749"/>
      <c r="E8" s="749"/>
      <c r="F8" s="749"/>
      <c r="G8" s="749"/>
      <c r="H8" s="749"/>
      <c r="I8" s="749"/>
      <c r="J8" s="749"/>
      <c r="N8" s="637"/>
      <c r="O8" s="656"/>
      <c r="P8" s="637"/>
      <c r="R8" s="657"/>
    </row>
    <row r="9" spans="1:18" ht="48" customHeight="1" x14ac:dyDescent="0.3">
      <c r="A9" s="636"/>
      <c r="B9" s="748" t="s">
        <v>432</v>
      </c>
      <c r="C9" s="748"/>
      <c r="D9" s="748"/>
      <c r="E9" s="748"/>
      <c r="F9" s="748"/>
      <c r="G9" s="748"/>
      <c r="H9" s="748"/>
      <c r="I9" s="748"/>
      <c r="J9" s="748"/>
    </row>
    <row r="10" spans="1:18" ht="16.5" customHeight="1" x14ac:dyDescent="0.3">
      <c r="A10" s="636"/>
      <c r="B10" s="748" t="s">
        <v>433</v>
      </c>
      <c r="C10" s="749"/>
      <c r="D10" s="749"/>
      <c r="E10" s="749"/>
      <c r="F10" s="749"/>
      <c r="G10" s="749"/>
      <c r="H10" s="749"/>
      <c r="I10" s="749"/>
      <c r="J10" s="749"/>
    </row>
    <row r="11" spans="1:18" x14ac:dyDescent="0.3">
      <c r="A11" s="636"/>
      <c r="B11" s="748"/>
      <c r="C11" s="749"/>
      <c r="D11" s="749"/>
      <c r="E11" s="749"/>
      <c r="F11" s="749"/>
      <c r="G11" s="749"/>
      <c r="H11" s="749"/>
      <c r="I11" s="749"/>
      <c r="J11" s="749"/>
    </row>
    <row r="12" spans="1:18" hidden="1" x14ac:dyDescent="0.3">
      <c r="B12" s="20">
        <v>6</v>
      </c>
      <c r="C12" s="20">
        <v>3</v>
      </c>
      <c r="D12" s="20">
        <v>7</v>
      </c>
      <c r="E12" s="20">
        <v>5</v>
      </c>
      <c r="F12" s="20">
        <v>2</v>
      </c>
      <c r="G12" s="20">
        <v>4</v>
      </c>
      <c r="H12" s="20">
        <v>8</v>
      </c>
    </row>
    <row r="13" spans="1:18" ht="16.2" thickBot="1" x14ac:dyDescent="0.35">
      <c r="B13" s="657"/>
      <c r="C13" s="657"/>
      <c r="D13" s="657"/>
      <c r="E13" s="657"/>
      <c r="F13" s="657"/>
      <c r="G13" s="657"/>
      <c r="H13" s="657"/>
      <c r="I13" s="657"/>
    </row>
    <row r="14" spans="1:18" ht="16.2" thickBot="1" x14ac:dyDescent="0.35">
      <c r="A14" s="599" t="s">
        <v>102</v>
      </c>
      <c r="B14" s="600" t="s">
        <v>103</v>
      </c>
      <c r="C14" s="601" t="s">
        <v>104</v>
      </c>
      <c r="D14" s="601" t="s">
        <v>105</v>
      </c>
      <c r="E14" s="601" t="s">
        <v>106</v>
      </c>
      <c r="F14" s="601" t="s">
        <v>107</v>
      </c>
      <c r="G14" s="601" t="s">
        <v>108</v>
      </c>
      <c r="H14" s="601" t="s">
        <v>109</v>
      </c>
      <c r="I14" s="602" t="s">
        <v>110</v>
      </c>
      <c r="J14" s="599" t="s">
        <v>22</v>
      </c>
      <c r="K14" s="658"/>
    </row>
    <row r="15" spans="1:18" x14ac:dyDescent="0.3">
      <c r="A15" s="659" t="s">
        <v>111</v>
      </c>
      <c r="B15" s="660">
        <v>27685.444850121527</v>
      </c>
      <c r="C15" s="661">
        <v>62881.559584769129</v>
      </c>
      <c r="D15" s="661">
        <v>40979.165786443424</v>
      </c>
      <c r="E15" s="662">
        <v>147523.1138678909</v>
      </c>
      <c r="F15" s="663">
        <v>50642.298099486914</v>
      </c>
      <c r="G15" s="661">
        <v>56825.478853686225</v>
      </c>
      <c r="H15" s="661">
        <v>49251.258957601953</v>
      </c>
      <c r="I15" s="664">
        <v>0</v>
      </c>
      <c r="J15" s="665">
        <f t="shared" ref="J15:J19" si="0">SUM(B15:I15)</f>
        <v>435788.32000000012</v>
      </c>
      <c r="K15" s="666">
        <f>J15</f>
        <v>435788.32000000012</v>
      </c>
      <c r="L15" s="667"/>
    </row>
    <row r="16" spans="1:18" x14ac:dyDescent="0.3">
      <c r="A16" s="607" t="s">
        <v>275</v>
      </c>
      <c r="B16" s="668"/>
      <c r="C16" s="669"/>
      <c r="D16" s="669"/>
      <c r="E16" s="669"/>
      <c r="F16" s="670"/>
      <c r="G16" s="669"/>
      <c r="H16" s="669"/>
      <c r="I16" s="671"/>
      <c r="J16" s="672">
        <f t="shared" si="0"/>
        <v>0</v>
      </c>
      <c r="K16" s="666">
        <f t="shared" ref="K16:K21" si="1">J16</f>
        <v>0</v>
      </c>
    </row>
    <row r="17" spans="1:13" x14ac:dyDescent="0.3">
      <c r="A17" s="673" t="s">
        <v>276</v>
      </c>
      <c r="B17" s="668">
        <v>-7.345225603357818</v>
      </c>
      <c r="C17" s="669">
        <v>-237.98530954879331</v>
      </c>
      <c r="D17" s="669">
        <v>-33.788037775445964</v>
      </c>
      <c r="E17" s="669">
        <v>-211.54249737670511</v>
      </c>
      <c r="F17" s="670">
        <v>-80.062959076600208</v>
      </c>
      <c r="G17" s="669">
        <v>-94.018887722980054</v>
      </c>
      <c r="H17" s="669">
        <v>-35.257082896117524</v>
      </c>
      <c r="I17" s="671"/>
      <c r="J17" s="672">
        <f t="shared" si="0"/>
        <v>-699.99999999999989</v>
      </c>
      <c r="K17" s="666">
        <f t="shared" si="1"/>
        <v>-699.99999999999989</v>
      </c>
    </row>
    <row r="18" spans="1:13" x14ac:dyDescent="0.3">
      <c r="A18" s="674" t="s">
        <v>112</v>
      </c>
      <c r="B18" s="668">
        <v>362.89150491977233</v>
      </c>
      <c r="C18" s="669">
        <v>2769.5104264394731</v>
      </c>
      <c r="D18" s="669">
        <v>6074.1946864237452</v>
      </c>
      <c r="E18" s="669">
        <v>22340.787298216823</v>
      </c>
      <c r="F18" s="669">
        <v>1589.9840803863228</v>
      </c>
      <c r="G18" s="669">
        <v>308.35244821726872</v>
      </c>
      <c r="H18" s="669">
        <v>6.506028037063194</v>
      </c>
      <c r="I18" s="675"/>
      <c r="J18" s="672">
        <f t="shared" si="0"/>
        <v>33452.226472640461</v>
      </c>
      <c r="K18" s="666">
        <f t="shared" si="1"/>
        <v>33452.226472640461</v>
      </c>
    </row>
    <row r="19" spans="1:13" x14ac:dyDescent="0.3">
      <c r="A19" s="673" t="s">
        <v>113</v>
      </c>
      <c r="B19" s="676">
        <v>-369.77006820176962</v>
      </c>
      <c r="C19" s="677">
        <v>-6492.0755981407829</v>
      </c>
      <c r="D19" s="677">
        <v>-7664.1118682947608</v>
      </c>
      <c r="E19" s="677">
        <v>-1689.0212926263682</v>
      </c>
      <c r="F19" s="677">
        <v>-7206.5311435768017</v>
      </c>
      <c r="G19" s="677">
        <v>-5106.1579950342366</v>
      </c>
      <c r="H19" s="677">
        <v>-4924.5585067657503</v>
      </c>
      <c r="I19" s="678"/>
      <c r="J19" s="679">
        <f t="shared" si="0"/>
        <v>-33452.226472640468</v>
      </c>
      <c r="K19" s="666">
        <f t="shared" si="1"/>
        <v>-33452.226472640468</v>
      </c>
    </row>
    <row r="20" spans="1:13" x14ac:dyDescent="0.3">
      <c r="A20" s="607" t="s">
        <v>114</v>
      </c>
      <c r="B20" s="680">
        <v>6151.5361414177896</v>
      </c>
      <c r="C20" s="681">
        <v>17851.027923221427</v>
      </c>
      <c r="D20" s="681">
        <v>14938.37960892587</v>
      </c>
      <c r="E20" s="681">
        <v>26970.293671616437</v>
      </c>
      <c r="F20" s="681">
        <v>21574.14936601376</v>
      </c>
      <c r="G20" s="681">
        <v>17569.061136259264</v>
      </c>
      <c r="H20" s="681">
        <v>3892.632152545445</v>
      </c>
      <c r="I20" s="675"/>
      <c r="J20" s="672">
        <f t="shared" ref="J20:J21" si="2">SUM(B20:I20)</f>
        <v>108947.07999999999</v>
      </c>
      <c r="K20" s="666">
        <f t="shared" si="1"/>
        <v>108947.07999999999</v>
      </c>
      <c r="L20" s="682"/>
      <c r="M20" s="683"/>
    </row>
    <row r="21" spans="1:13" x14ac:dyDescent="0.3">
      <c r="A21" s="607" t="s">
        <v>434</v>
      </c>
      <c r="B21" s="680">
        <v>2484.7934896138077</v>
      </c>
      <c r="C21" s="681">
        <v>8592.7632653947967</v>
      </c>
      <c r="D21" s="681">
        <v>27162.488342536948</v>
      </c>
      <c r="E21" s="681">
        <v>23148.775399279057</v>
      </c>
      <c r="F21" s="681">
        <v>40382.33802531119</v>
      </c>
      <c r="G21" s="681">
        <v>26871.708367890922</v>
      </c>
      <c r="H21" s="684">
        <v>2264.1272760001475</v>
      </c>
      <c r="I21" s="684">
        <v>42978.865833973097</v>
      </c>
      <c r="J21" s="672">
        <f t="shared" si="2"/>
        <v>173885.86</v>
      </c>
      <c r="K21" s="666">
        <f t="shared" si="1"/>
        <v>173885.86</v>
      </c>
      <c r="L21" s="685"/>
      <c r="M21" s="158"/>
    </row>
    <row r="22" spans="1:13" ht="16.2" thickBot="1" x14ac:dyDescent="0.35">
      <c r="A22" s="674" t="s">
        <v>115</v>
      </c>
      <c r="B22" s="681">
        <v>708.2423181116535</v>
      </c>
      <c r="C22" s="681">
        <v>1549.0612738999496</v>
      </c>
      <c r="D22" s="681">
        <v>4209.4657307721045</v>
      </c>
      <c r="E22" s="681">
        <v>3029.8261521158747</v>
      </c>
      <c r="F22" s="681">
        <v>3666.8012166413546</v>
      </c>
      <c r="G22" s="681">
        <v>2746.5170595537934</v>
      </c>
      <c r="H22" s="681">
        <v>244.024248905272</v>
      </c>
      <c r="I22" s="675"/>
      <c r="J22" s="672">
        <f>SUM(B22:I22)</f>
        <v>16153.938000000002</v>
      </c>
      <c r="K22" s="666">
        <f>J22</f>
        <v>16153.938000000002</v>
      </c>
    </row>
    <row r="23" spans="1:13" ht="16.2" thickBot="1" x14ac:dyDescent="0.35">
      <c r="A23" s="611" t="s">
        <v>22</v>
      </c>
      <c r="B23" s="686">
        <f t="shared" ref="B23:I23" si="3">SUM(B15:B22)</f>
        <v>37015.793010379421</v>
      </c>
      <c r="C23" s="687">
        <f t="shared" si="3"/>
        <v>86913.861566035193</v>
      </c>
      <c r="D23" s="687">
        <f t="shared" si="3"/>
        <v>85665.794249031882</v>
      </c>
      <c r="E23" s="613">
        <f t="shared" si="3"/>
        <v>221112.23259911605</v>
      </c>
      <c r="F23" s="687">
        <f t="shared" si="3"/>
        <v>110568.97668518615</v>
      </c>
      <c r="G23" s="687">
        <f t="shared" si="3"/>
        <v>99120.940982850254</v>
      </c>
      <c r="H23" s="687">
        <f t="shared" si="3"/>
        <v>50698.733073428004</v>
      </c>
      <c r="I23" s="687">
        <f t="shared" si="3"/>
        <v>42978.865833973097</v>
      </c>
      <c r="J23" s="688">
        <f>SUM(B23:I23)</f>
        <v>734075.19800000009</v>
      </c>
      <c r="K23" s="666">
        <f>J23</f>
        <v>734075.19800000009</v>
      </c>
    </row>
    <row r="24" spans="1:13" x14ac:dyDescent="0.3">
      <c r="A24" s="658"/>
      <c r="B24" s="637"/>
      <c r="C24" s="637"/>
      <c r="D24" s="637"/>
      <c r="E24" s="637"/>
      <c r="F24" s="637"/>
      <c r="G24" s="637"/>
      <c r="H24" s="637"/>
      <c r="I24" s="637"/>
      <c r="J24" s="637"/>
      <c r="K24" s="689"/>
    </row>
    <row r="25" spans="1:13" ht="33" customHeight="1" x14ac:dyDescent="0.3">
      <c r="A25" s="754" t="s">
        <v>116</v>
      </c>
      <c r="B25" s="749"/>
      <c r="C25" s="749"/>
      <c r="D25" s="749"/>
      <c r="E25" s="749"/>
      <c r="F25" s="749"/>
      <c r="G25" s="749"/>
      <c r="H25" s="749"/>
      <c r="I25" s="749"/>
      <c r="J25" s="749"/>
    </row>
    <row r="26" spans="1:13" ht="16.2" thickBot="1" x14ac:dyDescent="0.35">
      <c r="A26" s="658"/>
      <c r="B26" s="690"/>
      <c r="C26" s="690"/>
      <c r="D26" s="690"/>
      <c r="E26" s="690"/>
      <c r="F26" s="690"/>
      <c r="G26" s="690"/>
      <c r="H26" s="690"/>
      <c r="I26" s="690"/>
      <c r="J26" s="657"/>
      <c r="K26" s="656"/>
    </row>
    <row r="27" spans="1:13" ht="16.2" thickBot="1" x14ac:dyDescent="0.35">
      <c r="A27" s="599" t="s">
        <v>102</v>
      </c>
      <c r="B27" s="691" t="s">
        <v>103</v>
      </c>
      <c r="C27" s="601" t="s">
        <v>104</v>
      </c>
      <c r="D27" s="601" t="s">
        <v>105</v>
      </c>
      <c r="E27" s="601" t="s">
        <v>106</v>
      </c>
      <c r="F27" s="601" t="s">
        <v>107</v>
      </c>
      <c r="G27" s="601" t="s">
        <v>108</v>
      </c>
      <c r="H27" s="601" t="s">
        <v>109</v>
      </c>
      <c r="I27" s="602" t="s">
        <v>117</v>
      </c>
      <c r="J27" s="599" t="s">
        <v>22</v>
      </c>
    </row>
    <row r="28" spans="1:13" x14ac:dyDescent="0.3">
      <c r="A28" s="692" t="s">
        <v>118</v>
      </c>
      <c r="B28" s="693">
        <v>11813.953040652441</v>
      </c>
      <c r="C28" s="662">
        <v>22256.580683667496</v>
      </c>
      <c r="D28" s="662">
        <v>22826.739163735154</v>
      </c>
      <c r="E28" s="662">
        <v>62271.738973035739</v>
      </c>
      <c r="F28" s="662">
        <v>36870.557419268887</v>
      </c>
      <c r="G28" s="662">
        <v>28048.174886366553</v>
      </c>
      <c r="H28" s="662">
        <v>11423.006461337307</v>
      </c>
      <c r="I28" s="694">
        <v>27364.533172842293</v>
      </c>
      <c r="J28" s="695">
        <f>SUM(B28:I28)</f>
        <v>222875.28380090586</v>
      </c>
      <c r="K28" s="666">
        <f>J28</f>
        <v>222875.28380090586</v>
      </c>
    </row>
    <row r="29" spans="1:13" ht="63" customHeight="1" thickBot="1" x14ac:dyDescent="0.35">
      <c r="A29" s="696" t="s">
        <v>435</v>
      </c>
      <c r="B29" s="697">
        <v>-524.56373183307426</v>
      </c>
      <c r="C29" s="698">
        <v>32.748328406378626</v>
      </c>
      <c r="D29" s="698">
        <v>18.929437479041518</v>
      </c>
      <c r="E29" s="698">
        <v>221.52253201392293</v>
      </c>
      <c r="F29" s="698">
        <v>262.40936121883055</v>
      </c>
      <c r="G29" s="698">
        <v>-53.14791119302064</v>
      </c>
      <c r="H29" s="698">
        <v>11.062579988781362</v>
      </c>
      <c r="I29" s="699">
        <v>5.8877576073873792</v>
      </c>
      <c r="J29" s="700">
        <f>SUM(B29:I29)</f>
        <v>-25.151646311752561</v>
      </c>
      <c r="K29" s="666">
        <f>J29</f>
        <v>-25.151646311752561</v>
      </c>
    </row>
    <row r="30" spans="1:13" ht="31.5" customHeight="1" thickBot="1" x14ac:dyDescent="0.35">
      <c r="A30" s="701" t="s">
        <v>119</v>
      </c>
      <c r="B30" s="702">
        <v>11289.389308819367</v>
      </c>
      <c r="C30" s="703">
        <v>22289.329012073875</v>
      </c>
      <c r="D30" s="703">
        <v>22845.668601214194</v>
      </c>
      <c r="E30" s="703">
        <v>62493.261505049661</v>
      </c>
      <c r="F30" s="703">
        <v>37132.966780487717</v>
      </c>
      <c r="G30" s="703">
        <v>27995.026975173532</v>
      </c>
      <c r="H30" s="703">
        <v>11434.069041326089</v>
      </c>
      <c r="I30" s="704">
        <v>27370.42093044968</v>
      </c>
      <c r="J30" s="705">
        <f t="shared" ref="J30" si="4">J28+J29</f>
        <v>222850.13215459412</v>
      </c>
      <c r="K30" s="666">
        <f>J30</f>
        <v>222850.13215459412</v>
      </c>
    </row>
    <row r="31" spans="1:13" ht="16.2" thickBot="1" x14ac:dyDescent="0.35">
      <c r="A31" s="701" t="s">
        <v>245</v>
      </c>
      <c r="B31" s="702">
        <v>25</v>
      </c>
      <c r="C31" s="703">
        <v>25</v>
      </c>
      <c r="D31" s="703">
        <v>25</v>
      </c>
      <c r="E31" s="703">
        <v>25</v>
      </c>
      <c r="F31" s="703">
        <v>25</v>
      </c>
      <c r="G31" s="703">
        <v>25</v>
      </c>
      <c r="H31" s="703">
        <v>25</v>
      </c>
      <c r="I31" s="704">
        <v>0</v>
      </c>
      <c r="J31" s="705">
        <f>SUM(B31:I31)</f>
        <v>175</v>
      </c>
    </row>
    <row r="32" spans="1:13" x14ac:dyDescent="0.3">
      <c r="A32" s="706"/>
      <c r="B32" s="639"/>
      <c r="C32" s="639"/>
      <c r="D32" s="639"/>
      <c r="E32" s="639"/>
      <c r="F32" s="639"/>
      <c r="G32" s="639"/>
      <c r="H32" s="639"/>
      <c r="I32" s="639"/>
      <c r="J32" s="685"/>
      <c r="L32" s="639"/>
    </row>
    <row r="33" spans="1:20" x14ac:dyDescent="0.3">
      <c r="A33" s="748" t="s">
        <v>120</v>
      </c>
      <c r="B33" s="749"/>
      <c r="C33" s="749"/>
      <c r="D33" s="749"/>
      <c r="E33" s="749"/>
      <c r="F33" s="749"/>
      <c r="G33" s="749"/>
      <c r="H33" s="749"/>
      <c r="I33" s="749"/>
      <c r="J33" s="749"/>
    </row>
    <row r="34" spans="1:20" ht="16.2" thickBot="1" x14ac:dyDescent="0.35">
      <c r="B34" s="637"/>
      <c r="C34" s="637"/>
      <c r="D34" s="637"/>
      <c r="E34" s="637"/>
      <c r="F34" s="637"/>
      <c r="G34" s="637"/>
      <c r="H34" s="637"/>
      <c r="I34" s="656"/>
    </row>
    <row r="35" spans="1:20" ht="16.2" thickBot="1" x14ac:dyDescent="0.35">
      <c r="A35" s="599" t="s">
        <v>102</v>
      </c>
      <c r="B35" s="600" t="s">
        <v>103</v>
      </c>
      <c r="C35" s="601" t="s">
        <v>104</v>
      </c>
      <c r="D35" s="601" t="s">
        <v>105</v>
      </c>
      <c r="E35" s="601" t="s">
        <v>106</v>
      </c>
      <c r="F35" s="601" t="s">
        <v>107</v>
      </c>
      <c r="G35" s="601" t="s">
        <v>108</v>
      </c>
      <c r="H35" s="601" t="s">
        <v>109</v>
      </c>
      <c r="I35" s="602" t="s">
        <v>117</v>
      </c>
      <c r="J35" s="599" t="s">
        <v>22</v>
      </c>
    </row>
    <row r="36" spans="1:20" ht="16.2" hidden="1" thickBot="1" x14ac:dyDescent="0.35">
      <c r="A36" s="599" t="s">
        <v>277</v>
      </c>
      <c r="B36" s="707">
        <v>3332461</v>
      </c>
      <c r="C36" s="708">
        <v>3332431</v>
      </c>
      <c r="D36" s="708">
        <v>3332471</v>
      </c>
      <c r="E36" s="708">
        <v>3332451</v>
      </c>
      <c r="F36" s="708">
        <v>3332421</v>
      </c>
      <c r="G36" s="708">
        <v>3332441</v>
      </c>
      <c r="H36" s="709">
        <v>3332481</v>
      </c>
      <c r="I36" s="708">
        <v>3332480</v>
      </c>
      <c r="J36" s="705">
        <f>K36</f>
        <v>19183.96</v>
      </c>
      <c r="K36" s="666">
        <v>19183.96</v>
      </c>
    </row>
    <row r="37" spans="1:20" ht="16.2" thickBot="1" x14ac:dyDescent="0.35">
      <c r="A37" s="599" t="s">
        <v>121</v>
      </c>
      <c r="B37" s="710">
        <v>2766.3100000000004</v>
      </c>
      <c r="C37" s="711">
        <v>1866.53</v>
      </c>
      <c r="D37" s="711">
        <v>3797.5799999999972</v>
      </c>
      <c r="E37" s="711">
        <v>5252.1800000000012</v>
      </c>
      <c r="F37" s="711">
        <v>7725.9000000000033</v>
      </c>
      <c r="G37" s="711">
        <v>5879.3799999999965</v>
      </c>
      <c r="H37" s="711">
        <v>1412.2399999999991</v>
      </c>
      <c r="I37" s="711">
        <v>5123.170000000001</v>
      </c>
      <c r="J37" s="705">
        <f>SUM(B37:I37)</f>
        <v>33823.289999999994</v>
      </c>
    </row>
    <row r="38" spans="1:20" ht="16.2" thickBot="1" x14ac:dyDescent="0.35">
      <c r="A38" s="712" t="s">
        <v>122</v>
      </c>
      <c r="B38" s="713">
        <f>0.2*B37*$J36/$J37</f>
        <v>313.80022693002371</v>
      </c>
      <c r="C38" s="714">
        <f t="shared" ref="C38:H38" si="5">0.2*C37*$J36/$J37</f>
        <v>211.73242968853717</v>
      </c>
      <c r="D38" s="714">
        <f t="shared" si="5"/>
        <v>430.7837754210189</v>
      </c>
      <c r="E38" s="714">
        <f t="shared" si="5"/>
        <v>595.78835194802184</v>
      </c>
      <c r="F38" s="714">
        <f t="shared" si="5"/>
        <v>876.39822479717429</v>
      </c>
      <c r="G38" s="714">
        <f t="shared" si="5"/>
        <v>666.93565732251329</v>
      </c>
      <c r="H38" s="714">
        <f t="shared" si="5"/>
        <v>160.19941094080431</v>
      </c>
      <c r="I38" s="714">
        <f>0.2*I37*$J36/$J37</f>
        <v>581.15392295190702</v>
      </c>
      <c r="J38" s="705">
        <f>SUM(B38:I38)</f>
        <v>3836.7920000000004</v>
      </c>
    </row>
    <row r="39" spans="1:20" x14ac:dyDescent="0.3">
      <c r="B39" s="637"/>
      <c r="C39" s="637"/>
      <c r="D39" s="637"/>
      <c r="E39" s="637"/>
      <c r="F39" s="637"/>
      <c r="G39" s="637"/>
      <c r="H39" s="637"/>
      <c r="I39" s="637"/>
      <c r="K39" s="715"/>
      <c r="M39" s="707"/>
      <c r="N39" s="707"/>
      <c r="O39" s="707"/>
      <c r="P39" s="707"/>
      <c r="Q39" s="707"/>
      <c r="R39" s="707"/>
      <c r="S39" s="707"/>
      <c r="T39" s="716"/>
    </row>
    <row r="40" spans="1:20" ht="33.75" customHeight="1" x14ac:dyDescent="0.3">
      <c r="A40" s="748" t="s">
        <v>436</v>
      </c>
      <c r="B40" s="749"/>
      <c r="C40" s="749"/>
      <c r="D40" s="749"/>
      <c r="E40" s="749"/>
      <c r="F40" s="749"/>
      <c r="G40" s="749"/>
      <c r="H40" s="749"/>
      <c r="I40" s="749"/>
      <c r="J40" s="749"/>
    </row>
    <row r="42" spans="1:20" x14ac:dyDescent="0.3">
      <c r="A42" s="638" t="s">
        <v>437</v>
      </c>
    </row>
    <row r="43" spans="1:20" x14ac:dyDescent="0.3">
      <c r="B43" s="158"/>
      <c r="C43" s="158"/>
      <c r="D43" s="158"/>
      <c r="E43" s="158"/>
      <c r="F43" s="158"/>
      <c r="G43" s="158"/>
      <c r="H43" s="158"/>
      <c r="I43" s="158"/>
    </row>
    <row r="44" spans="1:20" x14ac:dyDescent="0.3">
      <c r="B44" s="158"/>
      <c r="C44" s="158"/>
      <c r="D44" s="158"/>
      <c r="E44" s="158"/>
      <c r="F44" s="158"/>
      <c r="G44" s="639" t="s">
        <v>278</v>
      </c>
      <c r="H44" s="158"/>
      <c r="I44" s="158"/>
    </row>
    <row r="45" spans="1:20" x14ac:dyDescent="0.3">
      <c r="G45" s="107" t="s">
        <v>279</v>
      </c>
    </row>
    <row r="47" spans="1:20" x14ac:dyDescent="0.3">
      <c r="A47" s="638" t="s">
        <v>438</v>
      </c>
    </row>
  </sheetData>
  <mergeCells count="11">
    <mergeCell ref="A40:J40"/>
    <mergeCell ref="A1:J1"/>
    <mergeCell ref="A2:J2"/>
    <mergeCell ref="A3:J3"/>
    <mergeCell ref="A33:J33"/>
    <mergeCell ref="B8:J8"/>
    <mergeCell ref="A25:J25"/>
    <mergeCell ref="B9:J9"/>
    <mergeCell ref="A7:J7"/>
    <mergeCell ref="B10:J10"/>
    <mergeCell ref="B11:J11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S2" sqref="S2"/>
    </sheetView>
  </sheetViews>
  <sheetFormatPr defaultRowHeight="14.4" x14ac:dyDescent="0.3"/>
  <cols>
    <col min="1" max="4" width="8.88671875" style="642"/>
    <col min="5" max="5" width="10.109375" style="642" bestFit="1" customWidth="1"/>
    <col min="6" max="9" width="8.88671875" style="642"/>
    <col min="10" max="10" width="10.109375" style="642" bestFit="1" customWidth="1"/>
    <col min="11" max="16384" width="8.88671875" style="642"/>
  </cols>
  <sheetData>
    <row r="1" spans="1:12" ht="20.399999999999999" x14ac:dyDescent="0.35">
      <c r="A1" s="750" t="s">
        <v>348</v>
      </c>
      <c r="B1" s="750"/>
      <c r="C1" s="750"/>
      <c r="D1" s="750"/>
      <c r="E1" s="750"/>
      <c r="F1" s="750"/>
      <c r="G1" s="750"/>
      <c r="H1" s="750"/>
      <c r="I1" s="750"/>
      <c r="J1" s="750"/>
      <c r="L1" s="718"/>
    </row>
    <row r="2" spans="1:12" ht="20.399999999999999" x14ac:dyDescent="0.35">
      <c r="A2" s="750" t="s">
        <v>428</v>
      </c>
      <c r="B2" s="750"/>
      <c r="C2" s="750"/>
      <c r="D2" s="750"/>
      <c r="E2" s="750"/>
      <c r="F2" s="750"/>
      <c r="G2" s="750"/>
      <c r="H2" s="750"/>
      <c r="I2" s="750"/>
      <c r="J2" s="750"/>
    </row>
    <row r="3" spans="1:12" ht="15.6" x14ac:dyDescent="0.3">
      <c r="A3" s="755">
        <v>45999</v>
      </c>
      <c r="B3" s="755"/>
      <c r="C3" s="755"/>
      <c r="D3" s="755"/>
      <c r="E3" s="755"/>
      <c r="F3" s="755"/>
      <c r="G3" s="755"/>
      <c r="H3" s="755"/>
      <c r="I3" s="755"/>
      <c r="J3" s="755"/>
    </row>
    <row r="4" spans="1:12" x14ac:dyDescent="0.3">
      <c r="A4" s="654"/>
      <c r="B4" s="654"/>
      <c r="C4" s="654"/>
      <c r="D4" s="654"/>
      <c r="E4" s="654"/>
      <c r="F4" s="654"/>
      <c r="G4" s="654"/>
      <c r="H4" s="654"/>
      <c r="I4" s="654"/>
      <c r="J4" s="654"/>
    </row>
    <row r="5" spans="1:12" ht="15.6" x14ac:dyDescent="0.3">
      <c r="A5" s="107"/>
      <c r="B5" s="597"/>
      <c r="C5" s="597"/>
      <c r="D5" s="597"/>
      <c r="E5" s="597"/>
      <c r="F5" s="597"/>
      <c r="G5" s="597"/>
      <c r="H5" s="597"/>
      <c r="I5" s="597"/>
      <c r="J5" s="20"/>
    </row>
    <row r="6" spans="1:12" ht="15.6" x14ac:dyDescent="0.3">
      <c r="A6" s="107"/>
      <c r="B6" s="597"/>
      <c r="C6" s="597"/>
      <c r="D6" s="597"/>
      <c r="E6" s="597"/>
      <c r="F6" s="597"/>
      <c r="G6" s="597"/>
      <c r="H6" s="597"/>
      <c r="I6" s="597"/>
      <c r="J6" s="20"/>
    </row>
    <row r="7" spans="1:12" ht="43.8" customHeight="1" x14ac:dyDescent="0.3">
      <c r="A7" s="756" t="s">
        <v>439</v>
      </c>
      <c r="B7" s="756"/>
      <c r="C7" s="756"/>
      <c r="D7" s="756"/>
      <c r="E7" s="756"/>
      <c r="F7" s="756"/>
      <c r="G7" s="756"/>
      <c r="H7" s="756"/>
      <c r="I7" s="756"/>
      <c r="J7" s="756"/>
    </row>
    <row r="8" spans="1:12" ht="16.2" thickBot="1" x14ac:dyDescent="0.35">
      <c r="A8" s="636"/>
      <c r="B8" s="757"/>
      <c r="C8" s="757"/>
      <c r="D8" s="757"/>
      <c r="E8" s="757"/>
      <c r="F8" s="757"/>
      <c r="G8" s="757"/>
      <c r="H8" s="757"/>
      <c r="I8" s="757"/>
      <c r="J8" s="757"/>
    </row>
    <row r="9" spans="1:12" ht="16.2" thickBot="1" x14ac:dyDescent="0.35">
      <c r="A9" s="599" t="s">
        <v>102</v>
      </c>
      <c r="B9" s="600" t="s">
        <v>103</v>
      </c>
      <c r="C9" s="601" t="s">
        <v>104</v>
      </c>
      <c r="D9" s="601" t="s">
        <v>105</v>
      </c>
      <c r="E9" s="601" t="s">
        <v>106</v>
      </c>
      <c r="F9" s="601" t="s">
        <v>107</v>
      </c>
      <c r="G9" s="601" t="s">
        <v>108</v>
      </c>
      <c r="H9" s="601" t="s">
        <v>109</v>
      </c>
      <c r="I9" s="602" t="s">
        <v>110</v>
      </c>
      <c r="J9" s="599" t="s">
        <v>22</v>
      </c>
    </row>
    <row r="10" spans="1:12" ht="15.6" x14ac:dyDescent="0.3">
      <c r="A10" s="659" t="s">
        <v>111</v>
      </c>
      <c r="B10" s="603">
        <v>27685.444850121527</v>
      </c>
      <c r="C10" s="604">
        <v>62881.559584769129</v>
      </c>
      <c r="D10" s="604">
        <v>40979.165786443424</v>
      </c>
      <c r="E10" s="604">
        <v>147523.1138678909</v>
      </c>
      <c r="F10" s="605">
        <v>50642.298099486914</v>
      </c>
      <c r="G10" s="604">
        <v>56825.478853686225</v>
      </c>
      <c r="H10" s="604">
        <v>49251.258957601953</v>
      </c>
      <c r="I10" s="606">
        <v>0</v>
      </c>
      <c r="J10" s="665">
        <v>435788.32000000012</v>
      </c>
    </row>
    <row r="11" spans="1:12" ht="16.2" thickBot="1" x14ac:dyDescent="0.35">
      <c r="A11" s="607" t="s">
        <v>114</v>
      </c>
      <c r="B11" s="608">
        <v>6151.5361414177896</v>
      </c>
      <c r="C11" s="609">
        <v>17851.027923221427</v>
      </c>
      <c r="D11" s="609">
        <v>14938.37960892587</v>
      </c>
      <c r="E11" s="609">
        <v>26970.293671616437</v>
      </c>
      <c r="F11" s="609">
        <v>21574.14936601376</v>
      </c>
      <c r="G11" s="609">
        <v>17569.061136259264</v>
      </c>
      <c r="H11" s="609">
        <v>3892.632152545445</v>
      </c>
      <c r="I11" s="610"/>
      <c r="J11" s="672">
        <v>108947.07999999999</v>
      </c>
    </row>
    <row r="12" spans="1:12" ht="16.2" thickBot="1" x14ac:dyDescent="0.35">
      <c r="A12" s="611" t="s">
        <v>22</v>
      </c>
      <c r="B12" s="612">
        <f t="shared" ref="B12:I12" si="0">SUM(B10:B11)</f>
        <v>33836.980991539313</v>
      </c>
      <c r="C12" s="613">
        <f t="shared" si="0"/>
        <v>80732.587507990553</v>
      </c>
      <c r="D12" s="613">
        <f t="shared" si="0"/>
        <v>55917.545395369292</v>
      </c>
      <c r="E12" s="613">
        <f t="shared" si="0"/>
        <v>174493.40753950735</v>
      </c>
      <c r="F12" s="613">
        <f t="shared" si="0"/>
        <v>72216.447465500678</v>
      </c>
      <c r="G12" s="613">
        <f t="shared" si="0"/>
        <v>74394.539989945493</v>
      </c>
      <c r="H12" s="613">
        <f t="shared" si="0"/>
        <v>53143.8911101474</v>
      </c>
      <c r="I12" s="613">
        <f t="shared" si="0"/>
        <v>0</v>
      </c>
      <c r="J12" s="614">
        <f>SUM(B12:I12)</f>
        <v>544735.4</v>
      </c>
    </row>
    <row r="13" spans="1:12" ht="16.2" thickBot="1" x14ac:dyDescent="0.35">
      <c r="B13" s="717">
        <f t="shared" ref="B13:H13" si="1">B12/$J12</f>
        <v>6.2116361432613544E-2</v>
      </c>
      <c r="C13" s="717">
        <f t="shared" si="1"/>
        <v>0.14820514236451413</v>
      </c>
      <c r="D13" s="717">
        <f t="shared" si="1"/>
        <v>0.10265083817825919</v>
      </c>
      <c r="E13" s="717">
        <f t="shared" si="1"/>
        <v>0.32032691016502202</v>
      </c>
      <c r="F13" s="717">
        <f t="shared" si="1"/>
        <v>0.13257160717937677</v>
      </c>
      <c r="G13" s="717">
        <f t="shared" si="1"/>
        <v>0.13657004848582541</v>
      </c>
      <c r="H13" s="717">
        <f t="shared" si="1"/>
        <v>9.7559092194389047E-2</v>
      </c>
    </row>
    <row r="14" spans="1:12" ht="16.2" thickBot="1" x14ac:dyDescent="0.35">
      <c r="A14" s="611" t="s">
        <v>349</v>
      </c>
      <c r="B14" s="615">
        <f t="shared" ref="B14:H14" si="2">B13*$J$14</f>
        <v>184.31707176629553</v>
      </c>
      <c r="C14" s="616">
        <f t="shared" si="2"/>
        <v>439.76719227137198</v>
      </c>
      <c r="D14" s="616">
        <f t="shared" si="2"/>
        <v>304.5944976654522</v>
      </c>
      <c r="E14" s="616">
        <f t="shared" si="2"/>
        <v>950.50187628283766</v>
      </c>
      <c r="F14" s="616">
        <f t="shared" si="2"/>
        <v>393.37800655247133</v>
      </c>
      <c r="G14" s="616">
        <f t="shared" si="2"/>
        <v>405.24252946135937</v>
      </c>
      <c r="H14" s="616">
        <f t="shared" si="2"/>
        <v>289.48582600021206</v>
      </c>
      <c r="I14" s="613">
        <v>0</v>
      </c>
      <c r="J14" s="617">
        <v>2967.2869999999998</v>
      </c>
    </row>
    <row r="15" spans="1:12" ht="15.6" x14ac:dyDescent="0.3">
      <c r="A15" s="107"/>
      <c r="B15" s="637"/>
      <c r="C15" s="637"/>
      <c r="D15" s="637"/>
      <c r="E15" s="637"/>
      <c r="F15" s="637"/>
      <c r="G15" s="637"/>
      <c r="H15" s="637"/>
      <c r="I15" s="637"/>
      <c r="J15" s="20"/>
    </row>
    <row r="16" spans="1:12" ht="15.6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6" x14ac:dyDescent="0.3">
      <c r="A17" s="638" t="s">
        <v>440</v>
      </c>
      <c r="B17" s="20"/>
      <c r="C17" s="20"/>
      <c r="D17" s="121"/>
      <c r="E17" s="20"/>
      <c r="F17" s="20"/>
      <c r="G17" s="20"/>
      <c r="H17" s="20"/>
      <c r="I17" s="20"/>
      <c r="J17" s="20"/>
    </row>
    <row r="18" spans="1:10" ht="15.6" x14ac:dyDescent="0.3">
      <c r="A18" s="107"/>
      <c r="B18" s="158"/>
      <c r="C18" s="158"/>
      <c r="D18" s="158"/>
      <c r="E18" s="158"/>
      <c r="F18" s="158"/>
      <c r="G18" s="158"/>
      <c r="H18" s="158"/>
      <c r="I18" s="20"/>
      <c r="J18" s="20"/>
    </row>
    <row r="19" spans="1:10" ht="15.6" x14ac:dyDescent="0.3">
      <c r="A19" s="107"/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6" x14ac:dyDescent="0.3">
      <c r="A20" s="107"/>
      <c r="B20" s="158"/>
      <c r="C20" s="158"/>
      <c r="D20" s="158"/>
      <c r="E20" s="158"/>
      <c r="F20" s="158"/>
      <c r="G20" s="158"/>
      <c r="H20" s="158"/>
      <c r="I20" s="20"/>
      <c r="J20" s="20"/>
    </row>
    <row r="21" spans="1:10" ht="15.6" x14ac:dyDescent="0.3">
      <c r="A21" s="158"/>
      <c r="B21" s="158"/>
      <c r="C21" s="639" t="s">
        <v>350</v>
      </c>
      <c r="D21" s="158"/>
      <c r="E21" s="20"/>
      <c r="H21" s="639" t="s">
        <v>351</v>
      </c>
      <c r="J21" s="20"/>
    </row>
    <row r="22" spans="1:10" ht="15.6" x14ac:dyDescent="0.3">
      <c r="A22" s="20"/>
      <c r="B22" s="20"/>
      <c r="C22" s="107" t="s">
        <v>352</v>
      </c>
      <c r="D22" s="20"/>
      <c r="E22" s="20"/>
      <c r="H22" s="639" t="s">
        <v>353</v>
      </c>
      <c r="J22" s="20"/>
    </row>
  </sheetData>
  <mergeCells count="5">
    <mergeCell ref="A1:J1"/>
    <mergeCell ref="A2:J2"/>
    <mergeCell ref="A3:J3"/>
    <mergeCell ref="A7:J7"/>
    <mergeCell ref="B8:J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"/>
  <sheetViews>
    <sheetView zoomScaleNormal="100" workbookViewId="0">
      <selection activeCell="I2" sqref="I2"/>
    </sheetView>
  </sheetViews>
  <sheetFormatPr defaultColWidth="9.109375" defaultRowHeight="13.8" x14ac:dyDescent="0.25"/>
  <cols>
    <col min="1" max="1" width="17.6640625" style="144" customWidth="1"/>
    <col min="2" max="2" width="14.6640625" style="144" customWidth="1"/>
    <col min="3" max="3" width="15.5546875" style="144" customWidth="1"/>
    <col min="4" max="6" width="14.6640625" style="144" customWidth="1"/>
    <col min="7" max="7" width="15.77734375" style="144" customWidth="1"/>
    <col min="8" max="8" width="8.33203125" style="144" bestFit="1" customWidth="1"/>
    <col min="9" max="9" width="14.6640625" style="144" customWidth="1"/>
    <col min="10" max="10" width="10.109375" style="144" bestFit="1" customWidth="1"/>
    <col min="11" max="11" width="16.44140625" style="144" customWidth="1"/>
    <col min="12" max="15" width="9.109375" style="144"/>
    <col min="16" max="16" width="11.88671875" style="144" customWidth="1"/>
    <col min="17" max="16384" width="9.109375" style="144"/>
  </cols>
  <sheetData>
    <row r="1" spans="1:10" ht="20.399999999999999" x14ac:dyDescent="0.35">
      <c r="A1" s="758" t="s">
        <v>129</v>
      </c>
      <c r="B1" s="750"/>
      <c r="C1" s="750"/>
      <c r="D1" s="750"/>
      <c r="E1" s="750"/>
      <c r="F1" s="750"/>
      <c r="G1" s="750"/>
      <c r="H1" s="750"/>
      <c r="I1" s="502"/>
      <c r="J1" s="433"/>
    </row>
    <row r="2" spans="1:10" ht="20.399999999999999" x14ac:dyDescent="0.35">
      <c r="A2" s="758" t="s">
        <v>428</v>
      </c>
      <c r="B2" s="750"/>
      <c r="C2" s="750"/>
      <c r="D2" s="750"/>
      <c r="E2" s="750"/>
      <c r="F2" s="750"/>
      <c r="G2" s="750"/>
      <c r="H2" s="750"/>
    </row>
    <row r="3" spans="1:10" ht="22.2" customHeight="1" x14ac:dyDescent="0.35">
      <c r="A3" s="759" t="s">
        <v>441</v>
      </c>
      <c r="B3" s="759"/>
      <c r="C3" s="759"/>
      <c r="D3" s="759"/>
      <c r="E3" s="759"/>
      <c r="F3" s="160"/>
      <c r="G3" s="160"/>
      <c r="H3" s="160"/>
    </row>
    <row r="4" spans="1:10" ht="31.2" customHeight="1" x14ac:dyDescent="0.3">
      <c r="A4" s="579"/>
      <c r="B4" s="580">
        <v>106</v>
      </c>
      <c r="C4" s="580" t="s">
        <v>414</v>
      </c>
      <c r="D4" s="580" t="s">
        <v>123</v>
      </c>
      <c r="E4" s="580" t="s">
        <v>118</v>
      </c>
      <c r="F4" s="581" t="s">
        <v>124</v>
      </c>
      <c r="G4" s="578" t="s">
        <v>132</v>
      </c>
      <c r="I4" s="145"/>
    </row>
    <row r="5" spans="1:10" ht="15.6" x14ac:dyDescent="0.3">
      <c r="A5" s="570" t="s">
        <v>125</v>
      </c>
      <c r="B5" s="572">
        <v>7985014.9415699579</v>
      </c>
      <c r="C5" s="572">
        <v>8533753.6906304322</v>
      </c>
      <c r="D5" s="572">
        <v>138430</v>
      </c>
      <c r="E5" s="582">
        <v>-3714319.3947164062</v>
      </c>
      <c r="F5" s="586">
        <v>-57154</v>
      </c>
      <c r="G5" s="590">
        <v>12747295.237483984</v>
      </c>
    </row>
    <row r="6" spans="1:10" ht="15.6" x14ac:dyDescent="0.3">
      <c r="A6" s="570" t="s">
        <v>126</v>
      </c>
      <c r="B6" s="572">
        <v>20511909.190490272</v>
      </c>
      <c r="C6" s="572">
        <v>9596818.665456444</v>
      </c>
      <c r="D6" s="572">
        <v>703975</v>
      </c>
      <c r="E6" s="582">
        <v>-12010992.339026675</v>
      </c>
      <c r="F6" s="586">
        <v>-244551</v>
      </c>
      <c r="G6" s="590">
        <v>17853184.516920041</v>
      </c>
    </row>
    <row r="7" spans="1:10" ht="16.2" thickBot="1" x14ac:dyDescent="0.35">
      <c r="A7" s="570" t="s">
        <v>127</v>
      </c>
      <c r="B7" s="572">
        <v>16160009.116470363</v>
      </c>
      <c r="C7" s="572">
        <v>8781915.9864500239</v>
      </c>
      <c r="D7" s="572">
        <v>3030855</v>
      </c>
      <c r="E7" s="582">
        <v>-6966913.2053076103</v>
      </c>
      <c r="F7" s="586">
        <v>-103862</v>
      </c>
      <c r="G7" s="591">
        <v>17871149.897612777</v>
      </c>
    </row>
    <row r="8" spans="1:10" ht="15.6" x14ac:dyDescent="0.3">
      <c r="A8" s="571" t="s">
        <v>319</v>
      </c>
      <c r="B8" s="574">
        <v>44656933.248530596</v>
      </c>
      <c r="C8" s="574">
        <v>26912488.3425369</v>
      </c>
      <c r="D8" s="574">
        <v>3873260</v>
      </c>
      <c r="E8" s="583">
        <v>-22692224.939050689</v>
      </c>
      <c r="F8" s="587">
        <v>-405567</v>
      </c>
      <c r="G8" s="593">
        <v>48471629.652016804</v>
      </c>
    </row>
    <row r="9" spans="1:10" ht="15.6" x14ac:dyDescent="0.3">
      <c r="A9" s="573" t="s">
        <v>128</v>
      </c>
      <c r="B9" s="576">
        <v>9636906.9271922223</v>
      </c>
      <c r="C9" s="576">
        <v>250000</v>
      </c>
      <c r="D9" s="576">
        <v>336206</v>
      </c>
      <c r="E9" s="585">
        <v>-112306.60580234909</v>
      </c>
      <c r="F9" s="589">
        <v>-25217</v>
      </c>
      <c r="G9" s="594">
        <v>9749383.3213898726</v>
      </c>
    </row>
    <row r="10" spans="1:10" s="525" customFormat="1" ht="15.6" x14ac:dyDescent="0.3">
      <c r="A10" s="577" t="s">
        <v>347</v>
      </c>
      <c r="B10" s="576">
        <v>450000</v>
      </c>
      <c r="C10" s="576"/>
      <c r="D10" s="576"/>
      <c r="E10" s="585"/>
      <c r="F10" s="589"/>
      <c r="G10" s="594">
        <v>450000</v>
      </c>
    </row>
    <row r="11" spans="1:10" ht="16.2" thickBot="1" x14ac:dyDescent="0.35">
      <c r="A11" s="569"/>
      <c r="B11" s="575">
        <v>54293840.175722823</v>
      </c>
      <c r="C11" s="575">
        <v>27162488.3425369</v>
      </c>
      <c r="D11" s="575">
        <v>4209466</v>
      </c>
      <c r="E11" s="584">
        <v>-22804531.544853039</v>
      </c>
      <c r="F11" s="588">
        <v>-430784</v>
      </c>
      <c r="G11" s="592">
        <v>58221012.973406672</v>
      </c>
    </row>
    <row r="12" spans="1:10" ht="10.5" customHeight="1" x14ac:dyDescent="0.25">
      <c r="C12" s="196"/>
    </row>
    <row r="13" spans="1:10" x14ac:dyDescent="0.25">
      <c r="A13" s="144" t="s">
        <v>412</v>
      </c>
    </row>
    <row r="14" spans="1:10" x14ac:dyDescent="0.25">
      <c r="A14" s="144" t="s">
        <v>133</v>
      </c>
    </row>
    <row r="15" spans="1:10" x14ac:dyDescent="0.25">
      <c r="A15" s="144" t="s">
        <v>413</v>
      </c>
    </row>
    <row r="16" spans="1:10" ht="7.5" customHeight="1" x14ac:dyDescent="0.25"/>
    <row r="17" spans="1:8" x14ac:dyDescent="0.25">
      <c r="A17" s="144" t="s">
        <v>416</v>
      </c>
    </row>
    <row r="18" spans="1:8" x14ac:dyDescent="0.25">
      <c r="A18" s="144" t="s">
        <v>415</v>
      </c>
    </row>
    <row r="20" spans="1:8" x14ac:dyDescent="0.25">
      <c r="A20" s="144" t="s">
        <v>417</v>
      </c>
    </row>
    <row r="21" spans="1:8" ht="9" customHeight="1" x14ac:dyDescent="0.3">
      <c r="A21" s="162"/>
      <c r="B21" s="161"/>
      <c r="C21" s="161"/>
      <c r="D21" s="161"/>
      <c r="E21" s="161"/>
      <c r="F21" s="161"/>
      <c r="G21" s="161"/>
      <c r="H21" s="161"/>
    </row>
    <row r="22" spans="1:8" ht="6.75" customHeight="1" x14ac:dyDescent="0.25">
      <c r="A22" s="362"/>
      <c r="B22" s="362"/>
      <c r="C22" s="362"/>
      <c r="D22" s="362"/>
      <c r="E22" s="362"/>
      <c r="F22" s="362"/>
      <c r="G22" s="362"/>
    </row>
  </sheetData>
  <mergeCells count="3">
    <mergeCell ref="A1:H1"/>
    <mergeCell ref="A2:H2"/>
    <mergeCell ref="A3:E3"/>
  </mergeCells>
  <pageMargins left="0.31496062992125984" right="0.31496062992125984" top="0.39370078740157483" bottom="0.3937007874015748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0"/>
  <sheetViews>
    <sheetView topLeftCell="A7" workbookViewId="0">
      <selection activeCell="B49" sqref="B49:E49"/>
    </sheetView>
  </sheetViews>
  <sheetFormatPr defaultRowHeight="14.4" x14ac:dyDescent="0.3"/>
  <cols>
    <col min="1" max="1" width="17.6640625" customWidth="1"/>
    <col min="2" max="6" width="14.6640625" customWidth="1"/>
    <col min="7" max="7" width="40.88671875" customWidth="1"/>
    <col min="8" max="9" width="14.6640625" customWidth="1"/>
    <col min="10" max="10" width="12.109375" customWidth="1"/>
    <col min="11" max="11" width="16.44140625" customWidth="1"/>
    <col min="16" max="16" width="11.88671875" customWidth="1"/>
  </cols>
  <sheetData>
    <row r="1" spans="1:10" ht="22.8" x14ac:dyDescent="0.4">
      <c r="A1" s="436" t="s">
        <v>235</v>
      </c>
      <c r="B1" s="185"/>
      <c r="C1" s="185"/>
      <c r="D1" s="185"/>
      <c r="E1" s="185"/>
      <c r="F1" s="185"/>
      <c r="G1" s="731"/>
    </row>
    <row r="2" spans="1:10" ht="60" customHeight="1" x14ac:dyDescent="0.3">
      <c r="A2" s="761" t="s">
        <v>536</v>
      </c>
      <c r="B2" s="761"/>
      <c r="C2" s="761"/>
      <c r="D2" s="761"/>
      <c r="E2" s="761"/>
      <c r="F2" s="761"/>
      <c r="G2" s="761"/>
    </row>
    <row r="4" spans="1:10" ht="16.2" thickBot="1" x14ac:dyDescent="0.35">
      <c r="A4" s="435" t="s">
        <v>442</v>
      </c>
      <c r="B4" s="185"/>
      <c r="C4" s="185"/>
      <c r="D4" s="185"/>
      <c r="E4" s="185"/>
      <c r="F4" s="185"/>
    </row>
    <row r="5" spans="1:10" x14ac:dyDescent="0.3">
      <c r="A5" s="400" t="s">
        <v>177</v>
      </c>
      <c r="B5" s="760" t="s">
        <v>231</v>
      </c>
      <c r="C5" s="760"/>
      <c r="D5" s="760"/>
      <c r="E5" s="760"/>
      <c r="F5" s="401" t="s">
        <v>443</v>
      </c>
    </row>
    <row r="6" spans="1:10" ht="15" thickBot="1" x14ac:dyDescent="0.35">
      <c r="A6" s="402"/>
      <c r="B6" s="403" t="s">
        <v>44</v>
      </c>
      <c r="C6" s="403" t="s">
        <v>45</v>
      </c>
      <c r="D6" s="403" t="s">
        <v>46</v>
      </c>
      <c r="E6" s="403" t="s">
        <v>232</v>
      </c>
      <c r="F6" s="404"/>
    </row>
    <row r="7" spans="1:10" x14ac:dyDescent="0.3">
      <c r="A7" s="515" t="s">
        <v>250</v>
      </c>
      <c r="B7" s="643">
        <v>0</v>
      </c>
      <c r="C7" s="643">
        <v>28487.55</v>
      </c>
      <c r="D7" s="643">
        <v>9618.17</v>
      </c>
      <c r="E7" s="646"/>
      <c r="F7" s="522">
        <f>SUM(B7:E7)</f>
        <v>38105.72</v>
      </c>
      <c r="G7" s="544" t="s">
        <v>296</v>
      </c>
    </row>
    <row r="8" spans="1:10" x14ac:dyDescent="0.3">
      <c r="A8" s="514">
        <v>102</v>
      </c>
      <c r="B8" s="643"/>
      <c r="C8" s="643"/>
      <c r="D8" s="643"/>
      <c r="E8" s="643"/>
      <c r="F8" s="523">
        <f>SUM(B8:E8)</f>
        <v>0</v>
      </c>
      <c r="G8" s="544" t="s">
        <v>344</v>
      </c>
    </row>
    <row r="9" spans="1:10" x14ac:dyDescent="0.3">
      <c r="A9" s="514">
        <v>103</v>
      </c>
      <c r="B9" s="643"/>
      <c r="C9" s="643"/>
      <c r="D9" s="643"/>
      <c r="E9" s="643"/>
      <c r="F9" s="523">
        <f t="shared" ref="F9:F22" si="0">SUM(B9:E9)</f>
        <v>0</v>
      </c>
      <c r="G9" s="544" t="s">
        <v>297</v>
      </c>
    </row>
    <row r="10" spans="1:10" x14ac:dyDescent="0.3">
      <c r="A10" s="514" t="s">
        <v>251</v>
      </c>
      <c r="B10" s="643">
        <v>305872.7</v>
      </c>
      <c r="C10" s="646">
        <v>-860962.02</v>
      </c>
      <c r="D10" s="646">
        <v>-35819.01</v>
      </c>
      <c r="E10" s="643">
        <f>211389.26+1652.89</f>
        <v>213042.15000000002</v>
      </c>
      <c r="F10" s="526">
        <f t="shared" si="0"/>
        <v>-377866.18000000005</v>
      </c>
      <c r="G10" s="544" t="s">
        <v>342</v>
      </c>
    </row>
    <row r="11" spans="1:10" ht="15" customHeight="1" x14ac:dyDescent="0.3">
      <c r="A11" s="514" t="s">
        <v>252</v>
      </c>
      <c r="B11" s="643">
        <v>0</v>
      </c>
      <c r="C11" s="646">
        <v>-302048.26</v>
      </c>
      <c r="D11" s="646">
        <v>-370881.32</v>
      </c>
      <c r="E11" s="643">
        <v>0</v>
      </c>
      <c r="F11" s="526">
        <f t="shared" si="0"/>
        <v>-672929.58000000007</v>
      </c>
      <c r="G11" s="544" t="s">
        <v>298</v>
      </c>
      <c r="H11" s="413"/>
      <c r="I11" s="413"/>
      <c r="J11" s="413"/>
    </row>
    <row r="12" spans="1:10" ht="15" customHeight="1" x14ac:dyDescent="0.3">
      <c r="A12" s="518">
        <v>106</v>
      </c>
      <c r="B12" s="643">
        <v>3806427.73</v>
      </c>
      <c r="C12" s="643">
        <v>9019467.5899999999</v>
      </c>
      <c r="D12" s="643">
        <v>6646029.1699999999</v>
      </c>
      <c r="E12" s="643">
        <v>10720150.32</v>
      </c>
      <c r="F12" s="523">
        <f>SUM(B12:E12)</f>
        <v>30192074.810000002</v>
      </c>
      <c r="G12" s="544" t="s">
        <v>343</v>
      </c>
      <c r="H12" s="413"/>
      <c r="I12" s="413"/>
      <c r="J12" s="413"/>
    </row>
    <row r="13" spans="1:10" s="512" customFormat="1" ht="15" customHeight="1" x14ac:dyDescent="0.3">
      <c r="A13" s="514">
        <v>107</v>
      </c>
      <c r="B13" s="646">
        <v>-3992490.52</v>
      </c>
      <c r="C13" s="646">
        <v>-9136918.8699999992</v>
      </c>
      <c r="D13" s="646">
        <v>-5109969.97</v>
      </c>
      <c r="E13" s="646">
        <v>-7185346.2800000003</v>
      </c>
      <c r="F13" s="526">
        <f t="shared" si="0"/>
        <v>-25424725.640000001</v>
      </c>
      <c r="G13" s="544" t="s">
        <v>301</v>
      </c>
      <c r="H13" s="413"/>
      <c r="I13" s="413"/>
      <c r="J13" s="413"/>
    </row>
    <row r="14" spans="1:10" x14ac:dyDescent="0.3">
      <c r="A14" s="514">
        <v>115</v>
      </c>
      <c r="B14" s="643"/>
      <c r="C14" s="643"/>
      <c r="D14" s="643"/>
      <c r="E14" s="643"/>
      <c r="F14" s="523">
        <f t="shared" si="0"/>
        <v>0</v>
      </c>
      <c r="G14" s="544" t="s">
        <v>256</v>
      </c>
    </row>
    <row r="15" spans="1:10" x14ac:dyDescent="0.3">
      <c r="A15" s="514">
        <v>117</v>
      </c>
      <c r="B15" s="643"/>
      <c r="C15" s="643"/>
      <c r="D15" s="643"/>
      <c r="E15" s="643"/>
      <c r="F15" s="523">
        <f t="shared" si="0"/>
        <v>0</v>
      </c>
      <c r="G15" s="544" t="s">
        <v>257</v>
      </c>
    </row>
    <row r="16" spans="1:10" x14ac:dyDescent="0.3">
      <c r="A16" s="514">
        <v>125</v>
      </c>
      <c r="B16" s="643"/>
      <c r="C16" s="643"/>
      <c r="D16" s="643"/>
      <c r="E16" s="643"/>
      <c r="F16" s="523">
        <f t="shared" si="0"/>
        <v>0</v>
      </c>
      <c r="G16" s="544" t="s">
        <v>258</v>
      </c>
    </row>
    <row r="17" spans="1:7" x14ac:dyDescent="0.3">
      <c r="A17" s="514">
        <v>126</v>
      </c>
      <c r="B17" s="643"/>
      <c r="C17" s="643"/>
      <c r="D17" s="643"/>
      <c r="E17" s="643"/>
      <c r="F17" s="523">
        <f t="shared" si="0"/>
        <v>0</v>
      </c>
      <c r="G17" s="544" t="s">
        <v>385</v>
      </c>
    </row>
    <row r="18" spans="1:7" x14ac:dyDescent="0.3">
      <c r="A18" s="514">
        <v>136</v>
      </c>
      <c r="B18" s="643"/>
      <c r="C18" s="643"/>
      <c r="D18" s="643"/>
      <c r="E18" s="643"/>
      <c r="F18" s="523">
        <f t="shared" si="0"/>
        <v>0</v>
      </c>
      <c r="G18" s="544" t="s">
        <v>259</v>
      </c>
    </row>
    <row r="19" spans="1:7" x14ac:dyDescent="0.3">
      <c r="A19" s="516" t="s">
        <v>253</v>
      </c>
      <c r="B19" s="643"/>
      <c r="C19" s="643"/>
      <c r="D19" s="643"/>
      <c r="E19" s="643"/>
      <c r="F19" s="523">
        <f t="shared" si="0"/>
        <v>0</v>
      </c>
      <c r="G19" s="544" t="s">
        <v>78</v>
      </c>
    </row>
    <row r="20" spans="1:7" x14ac:dyDescent="0.3">
      <c r="A20" s="514">
        <v>175</v>
      </c>
      <c r="B20" s="643"/>
      <c r="C20" s="643"/>
      <c r="D20" s="643"/>
      <c r="E20" s="643"/>
      <c r="F20" s="523">
        <f t="shared" si="0"/>
        <v>0</v>
      </c>
      <c r="G20" s="544" t="s">
        <v>260</v>
      </c>
    </row>
    <row r="21" spans="1:7" x14ac:dyDescent="0.3">
      <c r="A21" s="514">
        <v>176</v>
      </c>
      <c r="B21" s="643"/>
      <c r="C21" s="643"/>
      <c r="D21" s="643"/>
      <c r="E21" s="643"/>
      <c r="F21" s="523">
        <f t="shared" si="0"/>
        <v>0</v>
      </c>
      <c r="G21" s="544" t="s">
        <v>261</v>
      </c>
    </row>
    <row r="22" spans="1:7" x14ac:dyDescent="0.3">
      <c r="A22" s="516" t="s">
        <v>254</v>
      </c>
      <c r="B22" s="643">
        <v>0</v>
      </c>
      <c r="C22" s="643">
        <v>14796.4</v>
      </c>
      <c r="D22" s="643">
        <v>361262.62</v>
      </c>
      <c r="E22" s="643">
        <v>0</v>
      </c>
      <c r="F22" s="523">
        <f t="shared" si="0"/>
        <v>376059.02</v>
      </c>
      <c r="G22" s="544" t="s">
        <v>233</v>
      </c>
    </row>
    <row r="23" spans="1:7" ht="15" thickBot="1" x14ac:dyDescent="0.35">
      <c r="A23" s="517" t="s">
        <v>255</v>
      </c>
      <c r="B23" s="644">
        <v>47850.28</v>
      </c>
      <c r="C23" s="644">
        <v>258766.65</v>
      </c>
      <c r="D23" s="644">
        <v>0</v>
      </c>
      <c r="E23" s="644">
        <v>74488.600000000006</v>
      </c>
      <c r="F23" s="524">
        <f>SUM(B23:E23)</f>
        <v>381105.53</v>
      </c>
      <c r="G23" s="544" t="s">
        <v>234</v>
      </c>
    </row>
    <row r="24" spans="1:7" ht="15" thickTop="1" x14ac:dyDescent="0.3">
      <c r="A24" s="406" t="s">
        <v>14</v>
      </c>
      <c r="B24" s="407">
        <f t="shared" ref="B24:C24" si="1">SUM(B7:B23)</f>
        <v>167660.19000000015</v>
      </c>
      <c r="C24" s="407">
        <f t="shared" si="1"/>
        <v>-978410.95999999985</v>
      </c>
      <c r="D24" s="407">
        <f>SUM(D7:D23)</f>
        <v>1500239.6600000001</v>
      </c>
      <c r="E24" s="407">
        <f>SUM(E7:E23)</f>
        <v>3822334.7900000005</v>
      </c>
      <c r="F24" s="407">
        <f>SUM(F7:F23)</f>
        <v>4511823.6800000025</v>
      </c>
      <c r="G24" s="405"/>
    </row>
    <row r="25" spans="1:7" x14ac:dyDescent="0.3">
      <c r="A25" s="595"/>
      <c r="B25" s="595"/>
      <c r="C25" s="595"/>
      <c r="D25" s="595"/>
      <c r="E25" s="595"/>
    </row>
    <row r="26" spans="1:7" x14ac:dyDescent="0.3">
      <c r="A26" s="408"/>
      <c r="B26" s="525" t="s">
        <v>299</v>
      </c>
      <c r="C26" s="508" t="s">
        <v>275</v>
      </c>
      <c r="D26" s="564" t="s">
        <v>444</v>
      </c>
      <c r="E26" s="595"/>
    </row>
    <row r="27" spans="1:7" x14ac:dyDescent="0.3">
      <c r="A27" s="409" t="s">
        <v>300</v>
      </c>
      <c r="B27" s="542">
        <f>SUM(B28:B31)</f>
        <v>4511823.6800000006</v>
      </c>
      <c r="C27" s="542">
        <v>0</v>
      </c>
      <c r="D27" s="542">
        <f>SUM(D28:D31)</f>
        <v>4511823.6800000006</v>
      </c>
      <c r="E27" s="595"/>
    </row>
    <row r="28" spans="1:7" x14ac:dyDescent="0.3">
      <c r="A28" s="410">
        <v>7620</v>
      </c>
      <c r="B28" s="540">
        <f>B24</f>
        <v>167660.19000000015</v>
      </c>
      <c r="C28" s="540"/>
      <c r="D28" s="634">
        <f>B28+C28</f>
        <v>167660.19000000015</v>
      </c>
      <c r="E28" s="595"/>
    </row>
    <row r="29" spans="1:7" ht="13.8" customHeight="1" x14ac:dyDescent="0.3">
      <c r="A29" s="410">
        <v>7630</v>
      </c>
      <c r="B29" s="620">
        <f>C24</f>
        <v>-978410.95999999985</v>
      </c>
      <c r="C29" s="540"/>
      <c r="D29" s="619">
        <f>B29+C29</f>
        <v>-978410.95999999985</v>
      </c>
      <c r="E29" s="405"/>
      <c r="F29" s="405"/>
    </row>
    <row r="30" spans="1:7" x14ac:dyDescent="0.3">
      <c r="A30" s="410">
        <v>7640</v>
      </c>
      <c r="B30" s="540">
        <f>D24</f>
        <v>1500239.6600000001</v>
      </c>
      <c r="C30" s="540"/>
      <c r="D30" s="541">
        <f t="shared" ref="D30:D31" si="2">B30+C30</f>
        <v>1500239.6600000001</v>
      </c>
      <c r="E30" s="405"/>
      <c r="F30" s="405"/>
    </row>
    <row r="31" spans="1:7" x14ac:dyDescent="0.3">
      <c r="A31" s="410">
        <v>7817</v>
      </c>
      <c r="B31" s="540">
        <f>E24</f>
        <v>3822334.7900000005</v>
      </c>
      <c r="C31" s="540"/>
      <c r="D31" s="541">
        <f t="shared" si="2"/>
        <v>3822334.7900000005</v>
      </c>
      <c r="E31" s="595"/>
    </row>
    <row r="32" spans="1:7" x14ac:dyDescent="0.3">
      <c r="A32" s="410"/>
      <c r="B32" s="197"/>
      <c r="C32" s="411"/>
      <c r="D32" s="411"/>
    </row>
    <row r="33" spans="1:10" x14ac:dyDescent="0.3">
      <c r="A33" s="509" t="s">
        <v>354</v>
      </c>
      <c r="B33" s="185"/>
      <c r="C33" s="185"/>
    </row>
    <row r="34" spans="1:10" x14ac:dyDescent="0.3">
      <c r="A34" s="565"/>
      <c r="B34" s="185"/>
      <c r="C34" s="185"/>
    </row>
    <row r="36" spans="1:10" ht="22.8" x14ac:dyDescent="0.4">
      <c r="A36" s="414" t="s">
        <v>236</v>
      </c>
      <c r="B36" s="414"/>
      <c r="C36" s="414"/>
      <c r="D36" s="414"/>
      <c r="E36" s="414"/>
      <c r="F36" s="525"/>
      <c r="G36" s="525"/>
      <c r="H36" s="595"/>
      <c r="I36" s="595"/>
    </row>
    <row r="37" spans="1:10" x14ac:dyDescent="0.3">
      <c r="A37" s="525"/>
      <c r="B37" s="525"/>
      <c r="C37" s="525"/>
      <c r="D37" s="525"/>
      <c r="E37" s="525"/>
      <c r="F37" s="525"/>
      <c r="G37" s="525"/>
      <c r="H37" s="595"/>
      <c r="I37" s="595"/>
    </row>
    <row r="38" spans="1:10" ht="15.6" x14ac:dyDescent="0.3">
      <c r="A38" s="525"/>
      <c r="B38" s="97" t="s">
        <v>237</v>
      </c>
      <c r="C38" s="525"/>
      <c r="D38" s="525"/>
      <c r="E38" s="525"/>
      <c r="F38" s="525"/>
      <c r="G38" s="525"/>
      <c r="H38" s="595"/>
      <c r="I38" s="595"/>
    </row>
    <row r="39" spans="1:10" ht="15.6" x14ac:dyDescent="0.3">
      <c r="A39" s="525"/>
      <c r="B39" s="415" t="s">
        <v>11</v>
      </c>
      <c r="C39" s="415" t="s">
        <v>12</v>
      </c>
      <c r="D39" s="415" t="s">
        <v>13</v>
      </c>
      <c r="E39" s="415" t="s">
        <v>18</v>
      </c>
      <c r="F39" s="525"/>
      <c r="G39" s="525"/>
      <c r="H39" s="595"/>
      <c r="I39" s="595"/>
    </row>
    <row r="40" spans="1:10" ht="15.6" x14ac:dyDescent="0.3">
      <c r="A40" s="525"/>
      <c r="B40" s="416">
        <v>7620</v>
      </c>
      <c r="C40" s="416">
        <v>7630</v>
      </c>
      <c r="D40" s="416">
        <v>7640</v>
      </c>
      <c r="E40" s="417">
        <v>7817</v>
      </c>
      <c r="F40" s="525"/>
      <c r="G40" s="422" t="s">
        <v>445</v>
      </c>
      <c r="H40" s="595"/>
      <c r="I40" s="595"/>
    </row>
    <row r="41" spans="1:10" ht="15.6" x14ac:dyDescent="0.3">
      <c r="A41" s="525"/>
      <c r="B41" s="543">
        <v>1272267</v>
      </c>
      <c r="C41" s="543">
        <v>-5473292</v>
      </c>
      <c r="D41" s="543">
        <v>3675186</v>
      </c>
      <c r="E41" s="543">
        <v>8215213</v>
      </c>
      <c r="F41" s="418"/>
      <c r="G41" s="419">
        <f>SUM(B41:E41)</f>
        <v>7689374</v>
      </c>
      <c r="H41" s="595"/>
      <c r="I41" s="595"/>
      <c r="J41" s="640"/>
    </row>
    <row r="42" spans="1:10" ht="15.6" x14ac:dyDescent="0.3">
      <c r="A42" s="762"/>
      <c r="B42" s="762"/>
      <c r="C42" s="762"/>
      <c r="D42" s="399"/>
      <c r="E42" s="399"/>
      <c r="F42" s="399"/>
      <c r="G42" s="399"/>
      <c r="H42" s="595"/>
      <c r="I42" s="595"/>
      <c r="J42" s="640"/>
    </row>
    <row r="43" spans="1:10" ht="15.6" x14ac:dyDescent="0.3">
      <c r="A43" s="525"/>
      <c r="B43" s="511" t="s">
        <v>532</v>
      </c>
      <c r="C43" s="196"/>
      <c r="D43" s="196"/>
      <c r="E43" s="196"/>
      <c r="F43" s="525"/>
      <c r="G43" s="525"/>
      <c r="H43" s="595"/>
      <c r="I43" s="595"/>
      <c r="J43" s="598"/>
    </row>
    <row r="44" spans="1:10" ht="15.6" x14ac:dyDescent="0.3">
      <c r="A44" s="525"/>
      <c r="B44" s="415" t="s">
        <v>11</v>
      </c>
      <c r="C44" s="415" t="s">
        <v>12</v>
      </c>
      <c r="D44" s="415" t="s">
        <v>13</v>
      </c>
      <c r="E44" s="415" t="s">
        <v>18</v>
      </c>
      <c r="F44" s="525"/>
      <c r="G44" s="525"/>
      <c r="H44" s="595"/>
      <c r="I44" s="595"/>
      <c r="J44" s="513"/>
    </row>
    <row r="45" spans="1:10" ht="15.6" x14ac:dyDescent="0.3">
      <c r="A45" s="525"/>
      <c r="B45" s="416">
        <v>7620</v>
      </c>
      <c r="C45" s="416">
        <v>7630</v>
      </c>
      <c r="D45" s="416">
        <v>7640</v>
      </c>
      <c r="E45" s="417">
        <v>7817</v>
      </c>
      <c r="F45" s="525"/>
      <c r="G45" s="434" t="s">
        <v>446</v>
      </c>
      <c r="H45" s="595"/>
      <c r="I45" s="595"/>
    </row>
    <row r="46" spans="1:10" ht="15.6" x14ac:dyDescent="0.3">
      <c r="A46" s="525"/>
      <c r="B46" s="543">
        <v>167660.18999999762</v>
      </c>
      <c r="C46" s="543">
        <v>-978410.96000000089</v>
      </c>
      <c r="D46" s="543">
        <v>1500240.1899999976</v>
      </c>
      <c r="E46" s="543">
        <v>3822334.7899999991</v>
      </c>
      <c r="F46" s="418"/>
      <c r="G46" s="419">
        <f>SUM(B46:E46)</f>
        <v>4511824.2099999934</v>
      </c>
      <c r="H46" s="595"/>
      <c r="I46" s="595"/>
    </row>
    <row r="47" spans="1:10" x14ac:dyDescent="0.3">
      <c r="A47" s="525"/>
      <c r="B47" s="520"/>
      <c r="C47" s="520"/>
      <c r="D47" s="520"/>
      <c r="E47" s="520"/>
      <c r="F47" s="520"/>
      <c r="G47" s="520"/>
      <c r="H47" s="595"/>
      <c r="I47" s="595"/>
    </row>
    <row r="48" spans="1:10" x14ac:dyDescent="0.3">
      <c r="A48" s="525"/>
      <c r="B48" s="520"/>
      <c r="C48" s="520"/>
      <c r="D48" s="520"/>
      <c r="E48" s="520"/>
      <c r="F48" s="520"/>
      <c r="G48" s="434" t="s">
        <v>447</v>
      </c>
      <c r="H48" s="595"/>
      <c r="I48" s="595"/>
    </row>
    <row r="49" spans="1:9" ht="15.6" x14ac:dyDescent="0.3">
      <c r="A49" s="8" t="s">
        <v>16</v>
      </c>
      <c r="B49" s="420">
        <f>B41+B46</f>
        <v>1439927.1899999976</v>
      </c>
      <c r="C49" s="420">
        <f>C41+C46</f>
        <v>-6451702.9600000009</v>
      </c>
      <c r="D49" s="420">
        <f>D41+D46</f>
        <v>5175426.1899999976</v>
      </c>
      <c r="E49" s="420">
        <f>E41+E46</f>
        <v>12037547.789999999</v>
      </c>
      <c r="F49" s="520"/>
      <c r="G49" s="421">
        <f>SUM(B49:E49)</f>
        <v>12201198.209999993</v>
      </c>
      <c r="H49" s="595"/>
      <c r="I49" s="595"/>
    </row>
    <row r="50" spans="1:9" x14ac:dyDescent="0.3">
      <c r="A50" s="525"/>
      <c r="B50" s="525"/>
      <c r="C50" s="525"/>
      <c r="D50" s="525"/>
      <c r="E50" s="525"/>
      <c r="F50" s="525"/>
      <c r="G50" s="525"/>
      <c r="H50" s="595"/>
      <c r="I50" s="595"/>
    </row>
  </sheetData>
  <mergeCells count="3">
    <mergeCell ref="B5:E5"/>
    <mergeCell ref="A2:G2"/>
    <mergeCell ref="A42:C42"/>
  </mergeCells>
  <pageMargins left="0.31496062992125984" right="0.31496062992125984" top="0.39370078740157483" bottom="0.39370078740157483" header="0.31496062992125984" footer="0.31496062992125984"/>
  <pageSetup paperSize="9" scale="7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92"/>
  <sheetViews>
    <sheetView topLeftCell="A59" zoomScaleNormal="100" workbookViewId="0">
      <selection activeCell="H91" sqref="H91"/>
    </sheetView>
  </sheetViews>
  <sheetFormatPr defaultColWidth="9.109375" defaultRowHeight="13.8" x14ac:dyDescent="0.25"/>
  <cols>
    <col min="1" max="1" width="17.6640625" style="525" customWidth="1"/>
    <col min="2" max="7" width="14.6640625" style="525" customWidth="1"/>
    <col min="8" max="8" width="19.33203125" style="231" bestFit="1" customWidth="1"/>
    <col min="9" max="9" width="23.6640625" style="525" customWidth="1"/>
    <col min="10" max="10" width="12.109375" style="525" customWidth="1"/>
    <col min="11" max="11" width="16.44140625" style="525" customWidth="1"/>
    <col min="12" max="15" width="9.109375" style="525"/>
    <col min="16" max="16" width="11.88671875" style="525" customWidth="1"/>
    <col min="17" max="16384" width="9.109375" style="525"/>
  </cols>
  <sheetData>
    <row r="1" spans="1:10" ht="22.8" x14ac:dyDescent="0.4">
      <c r="A1" s="333" t="s">
        <v>448</v>
      </c>
      <c r="B1" s="228"/>
      <c r="C1" s="228"/>
      <c r="D1" s="228"/>
      <c r="E1" s="228"/>
      <c r="F1" s="228"/>
      <c r="I1" s="433"/>
      <c r="J1" s="335"/>
    </row>
    <row r="2" spans="1:10" ht="92.4" customHeight="1" x14ac:dyDescent="0.25">
      <c r="A2" s="765" t="s">
        <v>405</v>
      </c>
      <c r="B2" s="765"/>
      <c r="C2" s="765"/>
      <c r="D2" s="765"/>
      <c r="E2" s="765"/>
      <c r="F2" s="765"/>
      <c r="G2" s="765"/>
      <c r="H2" s="765"/>
    </row>
    <row r="3" spans="1:10" ht="23.4" customHeight="1" x14ac:dyDescent="0.25">
      <c r="A3" s="765" t="s">
        <v>195</v>
      </c>
      <c r="B3" s="765"/>
      <c r="C3" s="765"/>
      <c r="D3" s="765"/>
      <c r="E3" s="765"/>
      <c r="F3" s="765"/>
      <c r="G3" s="765"/>
      <c r="H3" s="765"/>
    </row>
    <row r="4" spans="1:10" ht="40.799999999999997" customHeight="1" x14ac:dyDescent="0.25">
      <c r="A4" s="765" t="s">
        <v>196</v>
      </c>
      <c r="B4" s="765"/>
      <c r="C4" s="765"/>
      <c r="D4" s="765"/>
      <c r="E4" s="765"/>
      <c r="F4" s="765"/>
      <c r="G4" s="765"/>
      <c r="H4" s="765"/>
    </row>
    <row r="6" spans="1:10" ht="36" customHeight="1" x14ac:dyDescent="0.25">
      <c r="A6" s="765" t="s">
        <v>406</v>
      </c>
      <c r="B6" s="765"/>
      <c r="C6" s="765"/>
      <c r="D6" s="765"/>
      <c r="E6" s="765"/>
      <c r="F6" s="765"/>
      <c r="G6" s="765"/>
      <c r="H6" s="765"/>
    </row>
    <row r="8" spans="1:10" ht="21.75" customHeight="1" x14ac:dyDescent="0.3">
      <c r="A8" s="766" t="s">
        <v>166</v>
      </c>
      <c r="B8" s="766"/>
      <c r="C8" s="766"/>
      <c r="D8" s="766"/>
      <c r="E8" s="766"/>
      <c r="F8" s="766"/>
      <c r="G8" s="766"/>
      <c r="H8" s="766"/>
      <c r="I8" s="229"/>
    </row>
    <row r="10" spans="1:10" ht="15.6" x14ac:dyDescent="0.3">
      <c r="A10" s="147" t="s">
        <v>449</v>
      </c>
      <c r="G10" s="229"/>
      <c r="H10" s="562">
        <f>9918379-1933364</f>
        <v>7985015</v>
      </c>
      <c r="I10" s="229"/>
      <c r="J10" s="231"/>
    </row>
    <row r="11" spans="1:10" x14ac:dyDescent="0.25">
      <c r="J11" s="231"/>
    </row>
    <row r="12" spans="1:10" ht="16.2" thickBot="1" x14ac:dyDescent="0.35">
      <c r="A12" s="138" t="s">
        <v>167</v>
      </c>
      <c r="B12" s="151"/>
      <c r="C12" s="151"/>
      <c r="D12" s="151"/>
      <c r="E12" s="151"/>
      <c r="F12" s="151"/>
      <c r="G12" s="151"/>
      <c r="H12" s="232"/>
    </row>
    <row r="13" spans="1:10" ht="14.4" thickTop="1" x14ac:dyDescent="0.25">
      <c r="A13" s="525" t="s">
        <v>533</v>
      </c>
      <c r="H13" s="195">
        <v>1272267</v>
      </c>
    </row>
    <row r="14" spans="1:10" x14ac:dyDescent="0.25">
      <c r="A14" s="525" t="s">
        <v>302</v>
      </c>
      <c r="H14" s="195">
        <v>81932</v>
      </c>
    </row>
    <row r="15" spans="1:10" s="645" customFormat="1" x14ac:dyDescent="0.25">
      <c r="A15" s="645" t="s">
        <v>175</v>
      </c>
      <c r="H15" s="195">
        <v>5.07</v>
      </c>
    </row>
    <row r="16" spans="1:10" s="645" customFormat="1" ht="14.4" thickBot="1" x14ac:dyDescent="0.3">
      <c r="A16" s="645" t="s">
        <v>386</v>
      </c>
      <c r="H16" s="342">
        <v>54464</v>
      </c>
    </row>
    <row r="17" spans="1:11" ht="16.2" thickTop="1" x14ac:dyDescent="0.3">
      <c r="G17" s="97" t="s">
        <v>14</v>
      </c>
      <c r="H17" s="98">
        <f>SUM(H13:H16)</f>
        <v>1408668.07</v>
      </c>
      <c r="K17" s="231"/>
    </row>
    <row r="19" spans="1:11" ht="16.2" thickBot="1" x14ac:dyDescent="0.35">
      <c r="A19" s="138" t="s">
        <v>168</v>
      </c>
      <c r="B19" s="233"/>
      <c r="C19" s="233"/>
      <c r="D19" s="233"/>
      <c r="E19" s="233"/>
      <c r="F19" s="233"/>
      <c r="G19" s="233"/>
      <c r="H19" s="339"/>
    </row>
    <row r="20" spans="1:11" ht="14.4" thickTop="1" x14ac:dyDescent="0.25">
      <c r="A20" s="525" t="s">
        <v>169</v>
      </c>
      <c r="H20" s="195">
        <v>3814988.34</v>
      </c>
    </row>
    <row r="21" spans="1:11" ht="14.4" thickBot="1" x14ac:dyDescent="0.3">
      <c r="A21" s="525" t="s">
        <v>302</v>
      </c>
      <c r="H21" s="342">
        <v>500000</v>
      </c>
    </row>
    <row r="22" spans="1:11" ht="16.2" thickTop="1" x14ac:dyDescent="0.3">
      <c r="G22" s="97" t="s">
        <v>14</v>
      </c>
      <c r="H22" s="98">
        <f>SUM(H20:H21)</f>
        <v>4314988.34</v>
      </c>
    </row>
    <row r="24" spans="1:11" ht="15.6" x14ac:dyDescent="0.3">
      <c r="A24" s="97" t="s">
        <v>222</v>
      </c>
      <c r="B24" s="97"/>
      <c r="C24" s="97"/>
      <c r="D24" s="97"/>
      <c r="E24" s="97"/>
      <c r="F24" s="97"/>
      <c r="G24" s="97"/>
      <c r="H24" s="234">
        <f>H10+H17-H22</f>
        <v>5078694.7300000004</v>
      </c>
      <c r="J24" s="231"/>
    </row>
    <row r="25" spans="1:11" ht="15.6" x14ac:dyDescent="0.3">
      <c r="A25" s="97" t="s">
        <v>220</v>
      </c>
      <c r="B25" s="97"/>
      <c r="C25" s="97"/>
      <c r="D25" s="97"/>
      <c r="E25" s="97"/>
      <c r="F25" s="97"/>
      <c r="G25" s="97"/>
      <c r="H25" s="234">
        <f>H24-H13</f>
        <v>3806427.7300000004</v>
      </c>
      <c r="I25" s="231"/>
      <c r="J25" s="231"/>
    </row>
    <row r="29" spans="1:11" ht="17.399999999999999" x14ac:dyDescent="0.3">
      <c r="A29" s="767" t="s">
        <v>170</v>
      </c>
      <c r="B29" s="767"/>
      <c r="C29" s="767"/>
      <c r="D29" s="767"/>
      <c r="E29" s="767"/>
      <c r="F29" s="767"/>
      <c r="G29" s="767"/>
      <c r="H29" s="767"/>
    </row>
    <row r="31" spans="1:11" ht="15.6" x14ac:dyDescent="0.3">
      <c r="A31" s="147" t="s">
        <v>449</v>
      </c>
      <c r="G31" s="229"/>
      <c r="H31" s="230">
        <f>23219677-2707767</f>
        <v>20511910</v>
      </c>
    </row>
    <row r="33" spans="1:10" ht="16.2" thickBot="1" x14ac:dyDescent="0.35">
      <c r="A33" s="138" t="s">
        <v>167</v>
      </c>
      <c r="B33" s="151"/>
      <c r="C33" s="151"/>
      <c r="D33" s="151"/>
      <c r="E33" s="151"/>
      <c r="F33" s="151"/>
      <c r="G33" s="151"/>
      <c r="H33" s="232"/>
    </row>
    <row r="34" spans="1:10" ht="14.4" thickTop="1" x14ac:dyDescent="0.25">
      <c r="A34" s="645" t="s">
        <v>533</v>
      </c>
      <c r="H34" s="231">
        <v>-5473292</v>
      </c>
    </row>
    <row r="35" spans="1:10" s="645" customFormat="1" x14ac:dyDescent="0.25">
      <c r="A35" s="645" t="s">
        <v>302</v>
      </c>
      <c r="H35" s="629">
        <v>1327726</v>
      </c>
    </row>
    <row r="36" spans="1:10" s="645" customFormat="1" x14ac:dyDescent="0.25">
      <c r="A36" s="645" t="s">
        <v>175</v>
      </c>
      <c r="H36" s="629"/>
    </row>
    <row r="37" spans="1:10" ht="14.4" thickBot="1" x14ac:dyDescent="0.3">
      <c r="A37" s="645" t="s">
        <v>386</v>
      </c>
      <c r="B37" s="645"/>
      <c r="C37" s="645"/>
      <c r="D37" s="645"/>
      <c r="H37" s="232">
        <v>139907</v>
      </c>
    </row>
    <row r="38" spans="1:10" ht="16.2" thickTop="1" x14ac:dyDescent="0.3">
      <c r="G38" s="97" t="s">
        <v>14</v>
      </c>
      <c r="H38" s="98">
        <f>SUM(H34:H37)</f>
        <v>-4005659</v>
      </c>
    </row>
    <row r="40" spans="1:10" ht="16.2" thickBot="1" x14ac:dyDescent="0.35">
      <c r="A40" s="138" t="s">
        <v>168</v>
      </c>
      <c r="B40" s="233"/>
      <c r="C40" s="233"/>
      <c r="D40" s="233"/>
      <c r="E40" s="233"/>
      <c r="F40" s="233"/>
      <c r="G40" s="233"/>
      <c r="H40" s="339"/>
    </row>
    <row r="41" spans="1:10" ht="14.4" thickTop="1" x14ac:dyDescent="0.25">
      <c r="A41" s="525" t="s">
        <v>171</v>
      </c>
      <c r="H41" s="195">
        <v>12945075.41</v>
      </c>
    </row>
    <row r="42" spans="1:10" ht="14.4" thickBot="1" x14ac:dyDescent="0.3">
      <c r="A42" s="762" t="s">
        <v>302</v>
      </c>
      <c r="B42" s="762"/>
      <c r="C42" s="762"/>
      <c r="H42" s="342">
        <v>15000</v>
      </c>
    </row>
    <row r="43" spans="1:10" ht="16.2" thickTop="1" x14ac:dyDescent="0.3">
      <c r="G43" s="97" t="s">
        <v>14</v>
      </c>
      <c r="H43" s="98">
        <f>SUM(H41:H42)</f>
        <v>12960075.41</v>
      </c>
    </row>
    <row r="45" spans="1:10" ht="15.6" x14ac:dyDescent="0.3">
      <c r="A45" s="97" t="s">
        <v>222</v>
      </c>
      <c r="B45" s="97"/>
      <c r="C45" s="97"/>
      <c r="D45" s="97"/>
      <c r="E45" s="97"/>
      <c r="F45" s="97"/>
      <c r="G45" s="97"/>
      <c r="H45" s="235">
        <f>H31+H38-H43</f>
        <v>3546175.59</v>
      </c>
      <c r="I45" s="231"/>
      <c r="J45" s="231"/>
    </row>
    <row r="46" spans="1:10" ht="15.6" x14ac:dyDescent="0.3">
      <c r="A46" s="97" t="s">
        <v>220</v>
      </c>
      <c r="B46" s="97"/>
      <c r="C46" s="97"/>
      <c r="D46" s="97"/>
      <c r="E46" s="97"/>
      <c r="F46" s="97"/>
      <c r="G46" s="97"/>
      <c r="H46" s="235">
        <f>H45-H34</f>
        <v>9019467.5899999999</v>
      </c>
      <c r="J46" s="231"/>
    </row>
    <row r="48" spans="1:10" x14ac:dyDescent="0.25">
      <c r="C48" s="245"/>
    </row>
    <row r="49" spans="1:9" ht="17.399999999999999" x14ac:dyDescent="0.3">
      <c r="A49" s="764" t="s">
        <v>172</v>
      </c>
      <c r="B49" s="764"/>
      <c r="C49" s="764"/>
      <c r="D49" s="764"/>
      <c r="E49" s="764"/>
      <c r="F49" s="764"/>
      <c r="G49" s="764"/>
      <c r="H49" s="764"/>
    </row>
    <row r="51" spans="1:9" ht="15.6" x14ac:dyDescent="0.3">
      <c r="A51" s="147" t="s">
        <v>449</v>
      </c>
      <c r="G51" s="229"/>
      <c r="H51" s="230">
        <f>18870501-2710492</f>
        <v>16160009</v>
      </c>
      <c r="I51" s="231"/>
    </row>
    <row r="53" spans="1:9" ht="16.2" thickBot="1" x14ac:dyDescent="0.35">
      <c r="A53" s="138" t="s">
        <v>167</v>
      </c>
      <c r="B53" s="151"/>
      <c r="C53" s="151"/>
      <c r="D53" s="151"/>
      <c r="E53" s="151"/>
      <c r="F53" s="151"/>
      <c r="G53" s="151"/>
      <c r="H53" s="232"/>
    </row>
    <row r="54" spans="1:9" ht="14.4" thickTop="1" x14ac:dyDescent="0.25">
      <c r="A54" s="645" t="s">
        <v>533</v>
      </c>
      <c r="H54" s="231">
        <v>3675186</v>
      </c>
    </row>
    <row r="55" spans="1:9" s="645" customFormat="1" x14ac:dyDescent="0.25">
      <c r="A55" s="645" t="s">
        <v>302</v>
      </c>
      <c r="H55" s="629">
        <v>775721</v>
      </c>
    </row>
    <row r="56" spans="1:9" s="645" customFormat="1" x14ac:dyDescent="0.25">
      <c r="A56" s="645" t="s">
        <v>175</v>
      </c>
      <c r="H56" s="629">
        <v>0</v>
      </c>
    </row>
    <row r="57" spans="1:9" ht="14.4" thickBot="1" x14ac:dyDescent="0.3">
      <c r="A57" s="645" t="s">
        <v>386</v>
      </c>
      <c r="H57" s="232">
        <v>110223</v>
      </c>
    </row>
    <row r="58" spans="1:9" ht="16.2" thickTop="1" x14ac:dyDescent="0.3">
      <c r="G58" s="97" t="s">
        <v>14</v>
      </c>
      <c r="H58" s="98">
        <f>SUM(H54:H57)</f>
        <v>4561130</v>
      </c>
    </row>
    <row r="60" spans="1:9" ht="16.2" thickBot="1" x14ac:dyDescent="0.35">
      <c r="A60" s="138" t="s">
        <v>168</v>
      </c>
      <c r="B60" s="233"/>
      <c r="C60" s="233"/>
      <c r="D60" s="233"/>
      <c r="E60" s="233"/>
      <c r="F60" s="233"/>
      <c r="G60" s="233"/>
      <c r="H60" s="339"/>
    </row>
    <row r="61" spans="1:9" ht="14.4" thickTop="1" x14ac:dyDescent="0.25">
      <c r="A61" s="525" t="s">
        <v>173</v>
      </c>
      <c r="H61" s="195">
        <v>9899922.8300000001</v>
      </c>
    </row>
    <row r="62" spans="1:9" ht="14.4" thickBot="1" x14ac:dyDescent="0.3">
      <c r="A62" s="525" t="s">
        <v>302</v>
      </c>
      <c r="H62" s="232">
        <v>500000</v>
      </c>
    </row>
    <row r="63" spans="1:9" ht="16.2" thickTop="1" x14ac:dyDescent="0.3">
      <c r="G63" s="97" t="s">
        <v>14</v>
      </c>
      <c r="H63" s="98">
        <f>SUM(H61:H62)</f>
        <v>10399922.83</v>
      </c>
    </row>
    <row r="65" spans="1:10" ht="15.6" x14ac:dyDescent="0.3">
      <c r="A65" s="97" t="s">
        <v>222</v>
      </c>
      <c r="B65" s="97"/>
      <c r="C65" s="97"/>
      <c r="D65" s="97"/>
      <c r="E65" s="97"/>
      <c r="F65" s="97"/>
      <c r="G65" s="97"/>
      <c r="H65" s="236">
        <f>H51+H58-H63</f>
        <v>10321216.17</v>
      </c>
      <c r="J65" s="231"/>
    </row>
    <row r="66" spans="1:10" ht="15.6" x14ac:dyDescent="0.3">
      <c r="A66" s="97" t="s">
        <v>220</v>
      </c>
      <c r="B66" s="97"/>
      <c r="C66" s="97"/>
      <c r="D66" s="97"/>
      <c r="E66" s="97"/>
      <c r="F66" s="97"/>
      <c r="G66" s="97"/>
      <c r="H66" s="236">
        <f>H65-H54-1</f>
        <v>6646029.1699999999</v>
      </c>
      <c r="J66" s="231"/>
    </row>
    <row r="69" spans="1:10" ht="17.399999999999999" x14ac:dyDescent="0.3">
      <c r="A69" s="763" t="s">
        <v>303</v>
      </c>
      <c r="B69" s="763"/>
      <c r="C69" s="763"/>
      <c r="D69" s="763"/>
      <c r="E69" s="763"/>
      <c r="F69" s="763"/>
      <c r="G69" s="763"/>
      <c r="H69" s="763"/>
      <c r="I69" s="196"/>
    </row>
    <row r="71" spans="1:10" ht="15.6" x14ac:dyDescent="0.3">
      <c r="A71" s="147" t="s">
        <v>449</v>
      </c>
      <c r="G71" s="229"/>
      <c r="H71" s="230">
        <f>9636907</f>
        <v>9636907</v>
      </c>
    </row>
    <row r="73" spans="1:10" ht="16.2" thickBot="1" x14ac:dyDescent="0.35">
      <c r="A73" s="138" t="s">
        <v>167</v>
      </c>
      <c r="B73" s="151"/>
      <c r="C73" s="151"/>
      <c r="D73" s="151"/>
      <c r="E73" s="151"/>
      <c r="F73" s="151"/>
      <c r="G73" s="151"/>
      <c r="H73" s="232"/>
    </row>
    <row r="74" spans="1:10" ht="14.4" thickTop="1" x14ac:dyDescent="0.25">
      <c r="A74" s="645" t="s">
        <v>533</v>
      </c>
      <c r="H74" s="231">
        <v>8215213</v>
      </c>
    </row>
    <row r="75" spans="1:10" x14ac:dyDescent="0.25">
      <c r="A75" s="645" t="s">
        <v>302</v>
      </c>
      <c r="H75" s="195">
        <v>33788</v>
      </c>
    </row>
    <row r="76" spans="1:10" s="645" customFormat="1" x14ac:dyDescent="0.25">
      <c r="A76" s="645" t="s">
        <v>407</v>
      </c>
      <c r="H76" s="195">
        <v>6880179</v>
      </c>
    </row>
    <row r="77" spans="1:10" x14ac:dyDescent="0.25">
      <c r="A77" s="645" t="s">
        <v>175</v>
      </c>
      <c r="H77" s="519">
        <v>70.959999999999994</v>
      </c>
    </row>
    <row r="78" spans="1:10" ht="14.4" thickBot="1" x14ac:dyDescent="0.3">
      <c r="A78" s="645" t="s">
        <v>386</v>
      </c>
      <c r="H78" s="342">
        <v>0</v>
      </c>
    </row>
    <row r="79" spans="1:10" ht="16.2" thickTop="1" x14ac:dyDescent="0.3">
      <c r="G79" s="97" t="s">
        <v>14</v>
      </c>
      <c r="H79" s="98">
        <f>SUM(H74:H78)</f>
        <v>15129250.960000001</v>
      </c>
    </row>
    <row r="81" spans="1:10" ht="16.2" thickBot="1" x14ac:dyDescent="0.35">
      <c r="A81" s="138" t="s">
        <v>168</v>
      </c>
      <c r="B81" s="233"/>
      <c r="C81" s="233"/>
      <c r="D81" s="233"/>
      <c r="E81" s="233"/>
      <c r="F81" s="233"/>
      <c r="G81" s="233"/>
      <c r="H81" s="339"/>
    </row>
    <row r="82" spans="1:10" ht="14.4" thickTop="1" x14ac:dyDescent="0.25">
      <c r="A82" s="525" t="s">
        <v>174</v>
      </c>
      <c r="H82" s="231">
        <v>1323416.6399999999</v>
      </c>
      <c r="I82" s="629"/>
    </row>
    <row r="83" spans="1:10" s="645" customFormat="1" x14ac:dyDescent="0.25">
      <c r="A83" s="645" t="s">
        <v>387</v>
      </c>
      <c r="H83" s="629">
        <v>3322000</v>
      </c>
    </row>
    <row r="84" spans="1:10" ht="14.4" thickBot="1" x14ac:dyDescent="0.3">
      <c r="A84" s="525" t="s">
        <v>302</v>
      </c>
      <c r="H84" s="342">
        <v>1185379</v>
      </c>
      <c r="I84" s="629"/>
    </row>
    <row r="85" spans="1:10" ht="16.2" thickTop="1" x14ac:dyDescent="0.3">
      <c r="G85" s="97" t="s">
        <v>14</v>
      </c>
      <c r="H85" s="98">
        <f>SUM(H82:H84)</f>
        <v>5830795.6399999997</v>
      </c>
    </row>
    <row r="87" spans="1:10" ht="15.6" x14ac:dyDescent="0.3">
      <c r="A87" s="97" t="s">
        <v>222</v>
      </c>
      <c r="B87" s="97"/>
      <c r="C87" s="97"/>
      <c r="D87" s="97"/>
      <c r="E87" s="97"/>
      <c r="F87" s="97"/>
      <c r="G87" s="97"/>
      <c r="H87" s="237">
        <f>H71+H79-H85</f>
        <v>18935362.32</v>
      </c>
      <c r="J87" s="231"/>
    </row>
    <row r="88" spans="1:10" ht="15.6" x14ac:dyDescent="0.3">
      <c r="A88" s="97" t="s">
        <v>220</v>
      </c>
      <c r="B88" s="97"/>
      <c r="C88" s="97"/>
      <c r="D88" s="97"/>
      <c r="E88" s="97"/>
      <c r="F88" s="97"/>
      <c r="G88" s="97"/>
      <c r="H88" s="237">
        <f>H87-H74+1</f>
        <v>10720150.32</v>
      </c>
      <c r="J88" s="231"/>
    </row>
    <row r="91" spans="1:10" ht="23.25" customHeight="1" x14ac:dyDescent="0.35">
      <c r="A91" s="505" t="s">
        <v>450</v>
      </c>
      <c r="B91" s="238"/>
      <c r="C91" s="238"/>
      <c r="D91" s="238"/>
      <c r="E91" s="238"/>
      <c r="F91" s="238"/>
      <c r="G91" s="238"/>
      <c r="H91" s="507">
        <f>H88+H66+H46+H25</f>
        <v>30192074.810000002</v>
      </c>
      <c r="J91" s="231"/>
    </row>
    <row r="92" spans="1:10" ht="15.75" customHeight="1" x14ac:dyDescent="0.35">
      <c r="A92" s="337"/>
      <c r="B92" s="196"/>
      <c r="C92" s="196"/>
      <c r="D92" s="196"/>
      <c r="E92" s="196"/>
      <c r="F92" s="196"/>
      <c r="G92" s="196"/>
      <c r="H92" s="338"/>
    </row>
  </sheetData>
  <mergeCells count="9">
    <mergeCell ref="A69:H69"/>
    <mergeCell ref="A49:H49"/>
    <mergeCell ref="A2:H2"/>
    <mergeCell ref="A3:H3"/>
    <mergeCell ref="A4:H4"/>
    <mergeCell ref="A8:H8"/>
    <mergeCell ref="A29:H29"/>
    <mergeCell ref="A6:H6"/>
    <mergeCell ref="A42:C42"/>
  </mergeCells>
  <pageMargins left="0.31496062992125984" right="0.31496062992125984" top="0.39370078740157483" bottom="0.3937007874015748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66"/>
  <sheetViews>
    <sheetView topLeftCell="A19" zoomScaleNormal="100" workbookViewId="0">
      <selection activeCell="Q35" sqref="Q35"/>
    </sheetView>
  </sheetViews>
  <sheetFormatPr defaultRowHeight="14.4" x14ac:dyDescent="0.3"/>
  <cols>
    <col min="1" max="1" width="11.33203125" style="595" customWidth="1"/>
    <col min="2" max="2" width="14.6640625" style="595" customWidth="1"/>
    <col min="3" max="3" width="38" style="595" customWidth="1"/>
    <col min="4" max="5" width="13.6640625" style="595" customWidth="1"/>
    <col min="6" max="6" width="14.6640625" style="595" customWidth="1"/>
    <col min="7" max="7" width="2.5546875" style="595" customWidth="1"/>
    <col min="8" max="12" width="12.6640625" style="595" customWidth="1"/>
    <col min="13" max="13" width="14.5546875" style="595" customWidth="1"/>
    <col min="14" max="14" width="2.6640625" style="595" customWidth="1"/>
    <col min="15" max="15" width="13.88671875" style="595" bestFit="1" customWidth="1"/>
    <col min="16" max="16" width="11.88671875" style="595" customWidth="1"/>
    <col min="17" max="16384" width="8.88671875" style="595"/>
  </cols>
  <sheetData>
    <row r="1" spans="1:25" ht="23.4" x14ac:dyDescent="0.45">
      <c r="A1" s="334" t="s">
        <v>451</v>
      </c>
      <c r="B1" s="20"/>
      <c r="C1" s="20"/>
      <c r="D1" s="30"/>
      <c r="E1" s="30"/>
      <c r="F1" s="30"/>
      <c r="G1" s="30"/>
      <c r="H1" s="30"/>
      <c r="I1" s="30"/>
      <c r="J1" s="30"/>
      <c r="K1" s="30"/>
      <c r="L1" s="553"/>
      <c r="M1" s="11"/>
      <c r="N1" s="11"/>
      <c r="O1" s="12" t="s">
        <v>19</v>
      </c>
      <c r="P1" s="106"/>
    </row>
    <row r="2" spans="1:25" ht="16.2" thickBot="1" x14ac:dyDescent="0.35">
      <c r="A2" s="20"/>
      <c r="B2" s="598"/>
      <c r="C2" s="598"/>
      <c r="D2" s="770" t="s">
        <v>100</v>
      </c>
      <c r="E2" s="771"/>
      <c r="F2" s="772"/>
      <c r="G2" s="63"/>
      <c r="H2" s="770" t="s">
        <v>101</v>
      </c>
      <c r="I2" s="771"/>
      <c r="J2" s="771"/>
      <c r="K2" s="771"/>
      <c r="L2" s="771"/>
      <c r="M2" s="772"/>
      <c r="N2" s="63"/>
      <c r="O2" s="20"/>
      <c r="P2" s="20"/>
    </row>
    <row r="3" spans="1:25" ht="16.2" thickBot="1" x14ac:dyDescent="0.35">
      <c r="A3" s="734" t="s">
        <v>20</v>
      </c>
      <c r="B3" s="773" t="s">
        <v>87</v>
      </c>
      <c r="C3" s="774"/>
      <c r="D3" s="737">
        <v>105</v>
      </c>
      <c r="E3" s="735">
        <v>107</v>
      </c>
      <c r="F3" s="736" t="s">
        <v>88</v>
      </c>
      <c r="G3" s="63"/>
      <c r="H3" s="737">
        <v>105</v>
      </c>
      <c r="I3" s="735">
        <v>106</v>
      </c>
      <c r="J3" s="735">
        <v>107</v>
      </c>
      <c r="K3" s="735">
        <v>110</v>
      </c>
      <c r="L3" s="735">
        <v>117</v>
      </c>
      <c r="M3" s="738" t="s">
        <v>89</v>
      </c>
      <c r="N3" s="63"/>
      <c r="O3" s="740" t="s">
        <v>90</v>
      </c>
      <c r="P3" s="107"/>
    </row>
    <row r="4" spans="1:25" ht="15.6" x14ac:dyDescent="0.3">
      <c r="A4" s="17">
        <v>501110</v>
      </c>
      <c r="B4" s="111" t="s">
        <v>33</v>
      </c>
      <c r="C4" s="113"/>
      <c r="D4" s="114"/>
      <c r="E4" s="128">
        <v>16218.48</v>
      </c>
      <c r="F4" s="115">
        <f t="shared" ref="F4:F48" si="0">SUM(D4:E4)</f>
        <v>16218.48</v>
      </c>
      <c r="G4" s="34"/>
      <c r="H4" s="114">
        <v>3505</v>
      </c>
      <c r="I4" s="125"/>
      <c r="J4" s="125">
        <v>29798.5</v>
      </c>
      <c r="K4" s="125"/>
      <c r="L4" s="125"/>
      <c r="M4" s="116">
        <f t="shared" ref="M4:M48" si="1">SUM(H4:L4)</f>
        <v>33303.5</v>
      </c>
      <c r="N4" s="108"/>
      <c r="O4" s="739">
        <f t="shared" ref="O4:O48" si="2">F4+M4</f>
        <v>49521.979999999996</v>
      </c>
      <c r="P4" s="110"/>
      <c r="R4" s="118"/>
      <c r="S4" s="117"/>
      <c r="T4" s="117"/>
      <c r="U4" s="30"/>
      <c r="V4" s="30"/>
      <c r="W4" s="30"/>
      <c r="X4" s="30"/>
      <c r="Y4" s="36"/>
    </row>
    <row r="5" spans="1:25" ht="15.6" x14ac:dyDescent="0.3">
      <c r="A5" s="17">
        <v>501115</v>
      </c>
      <c r="B5" s="111" t="s">
        <v>336</v>
      </c>
      <c r="C5" s="113"/>
      <c r="D5" s="114"/>
      <c r="E5" s="128"/>
      <c r="F5" s="115">
        <f t="shared" si="0"/>
        <v>0</v>
      </c>
      <c r="G5" s="34"/>
      <c r="H5" s="114">
        <v>30006.45</v>
      </c>
      <c r="I5" s="125"/>
      <c r="J5" s="125">
        <v>824.88</v>
      </c>
      <c r="K5" s="125"/>
      <c r="L5" s="125"/>
      <c r="M5" s="116">
        <f t="shared" si="1"/>
        <v>30831.33</v>
      </c>
      <c r="N5" s="108"/>
      <c r="O5" s="109">
        <f t="shared" si="2"/>
        <v>30831.33</v>
      </c>
      <c r="P5" s="110"/>
      <c r="R5" s="118"/>
      <c r="S5" s="117"/>
      <c r="T5" s="117"/>
      <c r="U5" s="30"/>
      <c r="V5" s="30"/>
      <c r="W5" s="30"/>
      <c r="X5" s="30"/>
      <c r="Y5" s="36"/>
    </row>
    <row r="6" spans="1:25" ht="15.6" x14ac:dyDescent="0.3">
      <c r="A6" s="17">
        <v>501120</v>
      </c>
      <c r="B6" s="111" t="s">
        <v>526</v>
      </c>
      <c r="C6" s="113"/>
      <c r="D6" s="114"/>
      <c r="E6" s="128"/>
      <c r="F6" s="115">
        <f t="shared" si="0"/>
        <v>0</v>
      </c>
      <c r="G6" s="34"/>
      <c r="H6" s="114"/>
      <c r="I6" s="125"/>
      <c r="J6" s="125">
        <v>1446.39</v>
      </c>
      <c r="K6" s="125"/>
      <c r="L6" s="125"/>
      <c r="M6" s="116">
        <f t="shared" si="1"/>
        <v>1446.39</v>
      </c>
      <c r="N6" s="108"/>
      <c r="O6" s="109">
        <f t="shared" si="2"/>
        <v>1446.39</v>
      </c>
      <c r="P6" s="110"/>
      <c r="R6" s="118"/>
      <c r="S6" s="117"/>
      <c r="T6" s="117"/>
      <c r="U6" s="30"/>
      <c r="V6" s="30"/>
      <c r="W6" s="30"/>
      <c r="X6" s="30"/>
      <c r="Y6" s="36"/>
    </row>
    <row r="7" spans="1:25" ht="15.6" x14ac:dyDescent="0.3">
      <c r="A7" s="17">
        <v>501150</v>
      </c>
      <c r="B7" s="111" t="s">
        <v>206</v>
      </c>
      <c r="C7" s="113"/>
      <c r="D7" s="114"/>
      <c r="E7" s="128"/>
      <c r="F7" s="115">
        <f t="shared" si="0"/>
        <v>0</v>
      </c>
      <c r="G7" s="34"/>
      <c r="H7" s="114"/>
      <c r="I7" s="125"/>
      <c r="J7" s="125">
        <v>143.80000000000001</v>
      </c>
      <c r="K7" s="36"/>
      <c r="L7" s="125"/>
      <c r="M7" s="116">
        <f t="shared" si="1"/>
        <v>143.80000000000001</v>
      </c>
      <c r="N7" s="108"/>
      <c r="O7" s="109">
        <f t="shared" si="2"/>
        <v>143.80000000000001</v>
      </c>
      <c r="P7" s="110"/>
      <c r="R7" s="118"/>
      <c r="S7" s="117"/>
      <c r="T7" s="117"/>
      <c r="U7" s="20"/>
      <c r="V7" s="20"/>
      <c r="W7" s="20"/>
      <c r="X7" s="20"/>
      <c r="Y7" s="36"/>
    </row>
    <row r="8" spans="1:25" ht="15.6" x14ac:dyDescent="0.3">
      <c r="A8" s="17">
        <v>504100</v>
      </c>
      <c r="B8" s="111" t="s">
        <v>315</v>
      </c>
      <c r="C8" s="113"/>
      <c r="D8" s="114"/>
      <c r="E8" s="128"/>
      <c r="F8" s="115">
        <f t="shared" si="0"/>
        <v>0</v>
      </c>
      <c r="G8" s="34"/>
      <c r="H8" s="114">
        <v>2444</v>
      </c>
      <c r="I8" s="125"/>
      <c r="J8" s="125"/>
      <c r="K8" s="36"/>
      <c r="L8" s="125"/>
      <c r="M8" s="116">
        <f t="shared" si="1"/>
        <v>2444</v>
      </c>
      <c r="N8" s="108"/>
      <c r="O8" s="109">
        <f t="shared" si="2"/>
        <v>2444</v>
      </c>
      <c r="P8" s="110"/>
      <c r="R8" s="118"/>
      <c r="S8" s="117"/>
      <c r="T8" s="117"/>
      <c r="U8" s="20"/>
      <c r="V8" s="20"/>
      <c r="W8" s="20"/>
      <c r="X8" s="20"/>
      <c r="Y8" s="36"/>
    </row>
    <row r="9" spans="1:25" ht="15.6" x14ac:dyDescent="0.3">
      <c r="A9" s="17">
        <v>504170</v>
      </c>
      <c r="B9" s="111" t="s">
        <v>294</v>
      </c>
      <c r="C9" s="113"/>
      <c r="D9" s="114"/>
      <c r="E9" s="128"/>
      <c r="F9" s="115">
        <f t="shared" si="0"/>
        <v>0</v>
      </c>
      <c r="G9" s="34"/>
      <c r="H9" s="114">
        <v>-2221.83</v>
      </c>
      <c r="I9" s="125"/>
      <c r="J9" s="125"/>
      <c r="K9" s="36"/>
      <c r="L9" s="125"/>
      <c r="M9" s="116">
        <f t="shared" si="1"/>
        <v>-2221.83</v>
      </c>
      <c r="N9" s="108"/>
      <c r="O9" s="109">
        <f t="shared" si="2"/>
        <v>-2221.83</v>
      </c>
      <c r="P9" s="110"/>
      <c r="R9" s="118"/>
      <c r="S9" s="117"/>
      <c r="T9" s="117"/>
      <c r="U9" s="20"/>
      <c r="V9" s="20"/>
      <c r="W9" s="20"/>
      <c r="X9" s="20"/>
      <c r="Y9" s="36"/>
    </row>
    <row r="10" spans="1:25" s="642" customFormat="1" ht="15.6" x14ac:dyDescent="0.3">
      <c r="A10" s="17">
        <v>511110</v>
      </c>
      <c r="B10" s="775" t="s">
        <v>527</v>
      </c>
      <c r="C10" s="776"/>
      <c r="D10" s="114"/>
      <c r="E10" s="128"/>
      <c r="F10" s="115">
        <f t="shared" si="0"/>
        <v>0</v>
      </c>
      <c r="G10" s="34"/>
      <c r="H10" s="114"/>
      <c r="I10" s="125"/>
      <c r="J10" s="125">
        <v>12441.45</v>
      </c>
      <c r="K10" s="36"/>
      <c r="L10" s="125"/>
      <c r="M10" s="116">
        <f t="shared" si="1"/>
        <v>12441.45</v>
      </c>
      <c r="N10" s="108"/>
      <c r="O10" s="109">
        <f t="shared" si="2"/>
        <v>12441.45</v>
      </c>
      <c r="P10" s="110"/>
      <c r="R10" s="118"/>
      <c r="S10" s="117"/>
      <c r="T10" s="117"/>
      <c r="U10" s="20"/>
      <c r="V10" s="20"/>
      <c r="W10" s="20"/>
      <c r="X10" s="20"/>
      <c r="Y10" s="36"/>
    </row>
    <row r="11" spans="1:25" ht="15.6" x14ac:dyDescent="0.3">
      <c r="A11" s="17">
        <v>512110</v>
      </c>
      <c r="B11" s="775" t="s">
        <v>31</v>
      </c>
      <c r="C11" s="776"/>
      <c r="D11" s="114"/>
      <c r="E11" s="128"/>
      <c r="F11" s="115">
        <f t="shared" si="0"/>
        <v>0</v>
      </c>
      <c r="G11" s="34"/>
      <c r="H11" s="114">
        <v>148</v>
      </c>
      <c r="I11" s="125"/>
      <c r="J11" s="125">
        <v>43540.47</v>
      </c>
      <c r="K11" s="36"/>
      <c r="L11" s="36"/>
      <c r="M11" s="116">
        <f t="shared" si="1"/>
        <v>43688.47</v>
      </c>
      <c r="N11" s="108"/>
      <c r="O11" s="109">
        <f t="shared" si="2"/>
        <v>43688.47</v>
      </c>
      <c r="P11" s="110"/>
      <c r="R11" s="598"/>
      <c r="S11" s="118"/>
      <c r="T11" s="598"/>
      <c r="U11" s="598"/>
      <c r="V11" s="598"/>
      <c r="W11" s="598"/>
      <c r="X11" s="598"/>
      <c r="Y11" s="36"/>
    </row>
    <row r="12" spans="1:25" ht="15.6" x14ac:dyDescent="0.3">
      <c r="A12" s="17">
        <v>512111</v>
      </c>
      <c r="B12" s="111" t="s">
        <v>35</v>
      </c>
      <c r="C12" s="113"/>
      <c r="D12" s="127"/>
      <c r="E12" s="129"/>
      <c r="F12" s="115">
        <f t="shared" si="0"/>
        <v>0</v>
      </c>
      <c r="G12" s="34"/>
      <c r="H12" s="127">
        <v>1728.6</v>
      </c>
      <c r="I12" s="36"/>
      <c r="J12" s="36">
        <v>39222.230000000003</v>
      </c>
      <c r="K12" s="36"/>
      <c r="L12" s="36"/>
      <c r="M12" s="116">
        <f t="shared" si="1"/>
        <v>40950.83</v>
      </c>
      <c r="N12" s="108"/>
      <c r="O12" s="109">
        <f t="shared" si="2"/>
        <v>40950.83</v>
      </c>
      <c r="P12" s="110"/>
      <c r="R12" s="30"/>
      <c r="S12" s="118"/>
      <c r="T12" s="117"/>
      <c r="U12" s="30"/>
      <c r="V12" s="30"/>
      <c r="W12" s="30"/>
      <c r="X12" s="30"/>
      <c r="Y12" s="34"/>
    </row>
    <row r="13" spans="1:25" ht="15.6" x14ac:dyDescent="0.3">
      <c r="A13" s="17">
        <v>512130</v>
      </c>
      <c r="B13" s="111" t="s">
        <v>30</v>
      </c>
      <c r="C13" s="113"/>
      <c r="D13" s="114"/>
      <c r="E13" s="128"/>
      <c r="F13" s="115">
        <f t="shared" si="0"/>
        <v>0</v>
      </c>
      <c r="G13" s="34"/>
      <c r="H13" s="114"/>
      <c r="I13" s="125"/>
      <c r="J13" s="125">
        <v>4118</v>
      </c>
      <c r="K13" s="36"/>
      <c r="L13" s="125"/>
      <c r="M13" s="116">
        <f t="shared" si="1"/>
        <v>4118</v>
      </c>
      <c r="N13" s="108"/>
      <c r="O13" s="109">
        <f t="shared" si="2"/>
        <v>4118</v>
      </c>
      <c r="P13" s="110"/>
    </row>
    <row r="14" spans="1:25" ht="15.6" x14ac:dyDescent="0.3">
      <c r="A14" s="17">
        <v>513109</v>
      </c>
      <c r="B14" s="111" t="s">
        <v>97</v>
      </c>
      <c r="C14" s="113"/>
      <c r="D14" s="114">
        <v>23450.12</v>
      </c>
      <c r="E14" s="128"/>
      <c r="F14" s="115">
        <f t="shared" si="0"/>
        <v>23450.12</v>
      </c>
      <c r="G14" s="34"/>
      <c r="H14" s="114">
        <v>72542.5</v>
      </c>
      <c r="I14" s="36"/>
      <c r="J14" s="36"/>
      <c r="K14" s="36"/>
      <c r="L14" s="36"/>
      <c r="M14" s="116">
        <f t="shared" si="1"/>
        <v>72542.5</v>
      </c>
      <c r="N14" s="108"/>
      <c r="O14" s="109">
        <f t="shared" si="2"/>
        <v>95992.62</v>
      </c>
      <c r="P14" s="110"/>
    </row>
    <row r="15" spans="1:25" ht="15.6" x14ac:dyDescent="0.3">
      <c r="A15" s="17">
        <v>518109</v>
      </c>
      <c r="B15" s="111" t="s">
        <v>295</v>
      </c>
      <c r="C15" s="113"/>
      <c r="D15" s="114">
        <v>1720</v>
      </c>
      <c r="E15" s="128"/>
      <c r="F15" s="115">
        <f t="shared" si="0"/>
        <v>1720</v>
      </c>
      <c r="G15" s="34"/>
      <c r="H15" s="114"/>
      <c r="I15" s="36"/>
      <c r="J15" s="36"/>
      <c r="K15" s="36"/>
      <c r="L15" s="36"/>
      <c r="M15" s="116">
        <f t="shared" si="1"/>
        <v>0</v>
      </c>
      <c r="N15" s="108"/>
      <c r="O15" s="109">
        <f t="shared" si="2"/>
        <v>1720</v>
      </c>
      <c r="P15" s="110"/>
    </row>
    <row r="16" spans="1:25" ht="15.6" x14ac:dyDescent="0.3">
      <c r="A16" s="17">
        <v>518110</v>
      </c>
      <c r="B16" s="111" t="s">
        <v>29</v>
      </c>
      <c r="C16" s="113"/>
      <c r="D16" s="114"/>
      <c r="E16" s="128"/>
      <c r="F16" s="115">
        <f t="shared" si="0"/>
        <v>0</v>
      </c>
      <c r="G16" s="34"/>
      <c r="H16" s="114"/>
      <c r="I16" s="36">
        <v>131.13</v>
      </c>
      <c r="J16" s="36"/>
      <c r="K16" s="36"/>
      <c r="L16" s="36"/>
      <c r="M16" s="116">
        <f t="shared" si="1"/>
        <v>131.13</v>
      </c>
      <c r="N16" s="108"/>
      <c r="O16" s="109">
        <f t="shared" si="2"/>
        <v>131.13</v>
      </c>
      <c r="P16" s="110"/>
    </row>
    <row r="17" spans="1:16" ht="15.6" x14ac:dyDescent="0.3">
      <c r="A17" s="17">
        <v>518111</v>
      </c>
      <c r="B17" s="111" t="s">
        <v>207</v>
      </c>
      <c r="C17" s="113"/>
      <c r="D17" s="114"/>
      <c r="E17" s="129"/>
      <c r="F17" s="115">
        <f t="shared" si="0"/>
        <v>0</v>
      </c>
      <c r="G17" s="34"/>
      <c r="H17" s="127">
        <v>1432.01</v>
      </c>
      <c r="I17" s="36">
        <v>99582.34</v>
      </c>
      <c r="J17" s="36">
        <v>22882.3</v>
      </c>
      <c r="K17" s="36"/>
      <c r="L17" s="36"/>
      <c r="M17" s="116">
        <f t="shared" si="1"/>
        <v>123896.65</v>
      </c>
      <c r="N17" s="108"/>
      <c r="O17" s="109">
        <f t="shared" si="2"/>
        <v>123896.65</v>
      </c>
      <c r="P17" s="110"/>
    </row>
    <row r="18" spans="1:16" ht="15.6" x14ac:dyDescent="0.3">
      <c r="A18" s="17">
        <v>518142</v>
      </c>
      <c r="B18" s="111" t="s">
        <v>316</v>
      </c>
      <c r="C18" s="113"/>
      <c r="D18" s="127"/>
      <c r="E18" s="128"/>
      <c r="F18" s="115">
        <f t="shared" si="0"/>
        <v>0</v>
      </c>
      <c r="G18" s="34"/>
      <c r="H18" s="127"/>
      <c r="I18" s="125"/>
      <c r="J18" s="125">
        <v>3000</v>
      </c>
      <c r="K18" s="36"/>
      <c r="L18" s="125"/>
      <c r="M18" s="116">
        <f t="shared" si="1"/>
        <v>3000</v>
      </c>
      <c r="N18" s="108"/>
      <c r="O18" s="109">
        <f t="shared" si="2"/>
        <v>3000</v>
      </c>
      <c r="P18" s="110"/>
    </row>
    <row r="19" spans="1:16" ht="15.6" x14ac:dyDescent="0.3">
      <c r="A19" s="17">
        <v>518151</v>
      </c>
      <c r="B19" s="111" t="s">
        <v>96</v>
      </c>
      <c r="C19" s="113"/>
      <c r="D19" s="114"/>
      <c r="E19" s="128">
        <v>3639.26</v>
      </c>
      <c r="F19" s="115">
        <f t="shared" si="0"/>
        <v>3639.26</v>
      </c>
      <c r="G19" s="34"/>
      <c r="H19" s="114"/>
      <c r="I19" s="125"/>
      <c r="J19" s="125">
        <v>11571.3</v>
      </c>
      <c r="K19" s="125"/>
      <c r="L19" s="125"/>
      <c r="M19" s="116">
        <f t="shared" si="1"/>
        <v>11571.3</v>
      </c>
      <c r="N19" s="108"/>
      <c r="O19" s="109">
        <f t="shared" si="2"/>
        <v>15210.56</v>
      </c>
      <c r="P19" s="110"/>
    </row>
    <row r="20" spans="1:16" ht="15.6" x14ac:dyDescent="0.3">
      <c r="A20" s="17">
        <v>518152</v>
      </c>
      <c r="B20" s="111" t="s">
        <v>91</v>
      </c>
      <c r="C20" s="113"/>
      <c r="D20" s="114"/>
      <c r="E20" s="129">
        <v>37231</v>
      </c>
      <c r="F20" s="115">
        <f t="shared" si="0"/>
        <v>37231</v>
      </c>
      <c r="G20" s="34"/>
      <c r="H20" s="114"/>
      <c r="I20" s="125"/>
      <c r="J20" s="125">
        <v>820</v>
      </c>
      <c r="K20" s="36"/>
      <c r="L20" s="36"/>
      <c r="M20" s="116">
        <f t="shared" si="1"/>
        <v>820</v>
      </c>
      <c r="N20" s="108"/>
      <c r="O20" s="109">
        <f t="shared" si="2"/>
        <v>38051</v>
      </c>
      <c r="P20" s="110"/>
    </row>
    <row r="21" spans="1:16" s="642" customFormat="1" ht="15.6" x14ac:dyDescent="0.3">
      <c r="A21" s="17">
        <v>518160</v>
      </c>
      <c r="B21" s="775" t="s">
        <v>528</v>
      </c>
      <c r="C21" s="776"/>
      <c r="D21" s="114"/>
      <c r="E21" s="129"/>
      <c r="F21" s="115">
        <f t="shared" si="0"/>
        <v>0</v>
      </c>
      <c r="G21" s="34"/>
      <c r="H21" s="114"/>
      <c r="I21" s="125"/>
      <c r="J21" s="125">
        <v>394.12</v>
      </c>
      <c r="K21" s="36"/>
      <c r="L21" s="36"/>
      <c r="M21" s="116">
        <f t="shared" si="1"/>
        <v>394.12</v>
      </c>
      <c r="N21" s="108"/>
      <c r="O21" s="109">
        <f t="shared" si="2"/>
        <v>394.12</v>
      </c>
      <c r="P21" s="110"/>
    </row>
    <row r="22" spans="1:16" ht="15.6" x14ac:dyDescent="0.3">
      <c r="A22" s="17">
        <v>518162</v>
      </c>
      <c r="B22" s="111" t="s">
        <v>314</v>
      </c>
      <c r="C22" s="113"/>
      <c r="D22" s="114"/>
      <c r="E22" s="128"/>
      <c r="F22" s="115">
        <f t="shared" si="0"/>
        <v>0</v>
      </c>
      <c r="G22" s="34"/>
      <c r="H22" s="114"/>
      <c r="I22" s="125"/>
      <c r="J22" s="125">
        <v>12287.5</v>
      </c>
      <c r="K22" s="36"/>
      <c r="L22" s="36"/>
      <c r="M22" s="116">
        <f t="shared" si="1"/>
        <v>12287.5</v>
      </c>
      <c r="N22" s="108"/>
      <c r="O22" s="109">
        <f t="shared" si="2"/>
        <v>12287.5</v>
      </c>
      <c r="P22" s="110"/>
    </row>
    <row r="23" spans="1:16" ht="15.6" x14ac:dyDescent="0.3">
      <c r="A23" s="17">
        <v>521110</v>
      </c>
      <c r="B23" s="111" t="s">
        <v>24</v>
      </c>
      <c r="C23" s="113"/>
      <c r="D23" s="127"/>
      <c r="E23" s="128">
        <v>1291851</v>
      </c>
      <c r="F23" s="115">
        <f t="shared" si="0"/>
        <v>1291851</v>
      </c>
      <c r="G23" s="34"/>
      <c r="H23" s="114">
        <v>18000</v>
      </c>
      <c r="I23" s="125">
        <v>67600</v>
      </c>
      <c r="J23" s="125">
        <v>3846027</v>
      </c>
      <c r="K23" s="36">
        <v>16000</v>
      </c>
      <c r="L23" s="125">
        <v>138832</v>
      </c>
      <c r="M23" s="116">
        <f t="shared" si="1"/>
        <v>4086459</v>
      </c>
      <c r="N23" s="108"/>
      <c r="O23" s="109">
        <f t="shared" si="2"/>
        <v>5378310</v>
      </c>
      <c r="P23" s="110"/>
    </row>
    <row r="24" spans="1:16" ht="15.6" x14ac:dyDescent="0.3">
      <c r="A24" s="17">
        <v>521115</v>
      </c>
      <c r="B24" s="111" t="s">
        <v>36</v>
      </c>
      <c r="C24" s="113"/>
      <c r="D24" s="127"/>
      <c r="E24" s="129"/>
      <c r="F24" s="115">
        <f t="shared" si="0"/>
        <v>0</v>
      </c>
      <c r="G24" s="34"/>
      <c r="H24" s="127"/>
      <c r="I24" s="36"/>
      <c r="J24" s="36">
        <v>42000</v>
      </c>
      <c r="K24" s="36"/>
      <c r="L24" s="36"/>
      <c r="M24" s="116">
        <f t="shared" si="1"/>
        <v>42000</v>
      </c>
      <c r="N24" s="108"/>
      <c r="O24" s="109">
        <f t="shared" si="2"/>
        <v>42000</v>
      </c>
      <c r="P24" s="110"/>
    </row>
    <row r="25" spans="1:16" ht="15.6" x14ac:dyDescent="0.3">
      <c r="A25" s="17">
        <v>521120</v>
      </c>
      <c r="B25" s="111" t="s">
        <v>32</v>
      </c>
      <c r="C25" s="113"/>
      <c r="D25" s="127"/>
      <c r="E25" s="129"/>
      <c r="F25" s="115">
        <f t="shared" si="0"/>
        <v>0</v>
      </c>
      <c r="G25" s="34"/>
      <c r="H25" s="127"/>
      <c r="I25" s="36">
        <v>4950</v>
      </c>
      <c r="J25" s="36"/>
      <c r="K25" s="36"/>
      <c r="L25" s="36"/>
      <c r="M25" s="116">
        <f t="shared" si="1"/>
        <v>4950</v>
      </c>
      <c r="N25" s="108"/>
      <c r="O25" s="109">
        <f t="shared" si="2"/>
        <v>4950</v>
      </c>
      <c r="P25" s="110"/>
    </row>
    <row r="26" spans="1:16" ht="15.6" x14ac:dyDescent="0.3">
      <c r="A26" s="17">
        <v>524110</v>
      </c>
      <c r="B26" s="111" t="s">
        <v>25</v>
      </c>
      <c r="C26" s="113"/>
      <c r="D26" s="114"/>
      <c r="E26" s="128">
        <v>318332.13</v>
      </c>
      <c r="F26" s="115">
        <f t="shared" si="0"/>
        <v>318332.13</v>
      </c>
      <c r="G26" s="34"/>
      <c r="H26" s="114">
        <v>4464</v>
      </c>
      <c r="I26" s="36">
        <v>16764.8</v>
      </c>
      <c r="J26" s="125">
        <v>947787.22</v>
      </c>
      <c r="K26" s="36">
        <v>3968</v>
      </c>
      <c r="L26" s="125">
        <v>34430.339999999997</v>
      </c>
      <c r="M26" s="116">
        <f t="shared" si="1"/>
        <v>1007414.36</v>
      </c>
      <c r="N26" s="108"/>
      <c r="O26" s="109">
        <f t="shared" si="2"/>
        <v>1325746.49</v>
      </c>
      <c r="P26" s="110"/>
    </row>
    <row r="27" spans="1:16" ht="15.6" x14ac:dyDescent="0.3">
      <c r="A27" s="17">
        <v>524150</v>
      </c>
      <c r="B27" s="111" t="s">
        <v>28</v>
      </c>
      <c r="C27" s="113"/>
      <c r="D27" s="114"/>
      <c r="E27" s="128">
        <v>116267.12</v>
      </c>
      <c r="F27" s="115">
        <f t="shared" si="0"/>
        <v>116267.12</v>
      </c>
      <c r="G27" s="34"/>
      <c r="H27" s="114">
        <v>1619.98</v>
      </c>
      <c r="I27" s="125">
        <v>6084.05</v>
      </c>
      <c r="J27" s="125">
        <v>349924.85</v>
      </c>
      <c r="K27" s="36">
        <v>1439.98</v>
      </c>
      <c r="L27" s="125">
        <v>12495.02</v>
      </c>
      <c r="M27" s="116">
        <f t="shared" si="1"/>
        <v>371563.88</v>
      </c>
      <c r="N27" s="108"/>
      <c r="O27" s="109">
        <f t="shared" si="2"/>
        <v>487831</v>
      </c>
      <c r="P27" s="110"/>
    </row>
    <row r="28" spans="1:16" ht="15.6" x14ac:dyDescent="0.3">
      <c r="A28" s="17">
        <v>525102</v>
      </c>
      <c r="B28" s="111" t="s">
        <v>209</v>
      </c>
      <c r="C28" s="113"/>
      <c r="D28" s="127"/>
      <c r="E28" s="129"/>
      <c r="F28" s="115">
        <f t="shared" si="0"/>
        <v>0</v>
      </c>
      <c r="G28" s="34"/>
      <c r="H28" s="127"/>
      <c r="I28" s="36"/>
      <c r="J28" s="36">
        <v>8028</v>
      </c>
      <c r="K28" s="36"/>
      <c r="L28" s="36"/>
      <c r="M28" s="116">
        <f t="shared" si="1"/>
        <v>8028</v>
      </c>
      <c r="N28" s="108"/>
      <c r="O28" s="109">
        <f t="shared" si="2"/>
        <v>8028</v>
      </c>
      <c r="P28" s="110"/>
    </row>
    <row r="29" spans="1:16" s="642" customFormat="1" ht="15.6" x14ac:dyDescent="0.3">
      <c r="A29" s="17">
        <v>525102</v>
      </c>
      <c r="B29" s="111" t="s">
        <v>389</v>
      </c>
      <c r="C29" s="113"/>
      <c r="D29" s="127"/>
      <c r="E29" s="129"/>
      <c r="F29" s="115">
        <f t="shared" si="0"/>
        <v>0</v>
      </c>
      <c r="G29" s="34"/>
      <c r="H29" s="127"/>
      <c r="I29" s="36"/>
      <c r="J29" s="36">
        <v>10710</v>
      </c>
      <c r="K29" s="36"/>
      <c r="L29" s="36"/>
      <c r="M29" s="116">
        <f t="shared" si="1"/>
        <v>10710</v>
      </c>
      <c r="N29" s="108"/>
      <c r="O29" s="109">
        <f t="shared" si="2"/>
        <v>10710</v>
      </c>
      <c r="P29" s="110"/>
    </row>
    <row r="30" spans="1:16" ht="15.6" x14ac:dyDescent="0.3">
      <c r="A30" s="99">
        <v>545100</v>
      </c>
      <c r="B30" s="112" t="s">
        <v>98</v>
      </c>
      <c r="C30" s="113"/>
      <c r="D30" s="114"/>
      <c r="E30" s="129"/>
      <c r="F30" s="115">
        <f t="shared" si="0"/>
        <v>0</v>
      </c>
      <c r="G30" s="34"/>
      <c r="H30" s="114"/>
      <c r="I30" s="36"/>
      <c r="J30" s="36">
        <v>119.4</v>
      </c>
      <c r="K30" s="36"/>
      <c r="L30" s="36"/>
      <c r="M30" s="116">
        <f t="shared" si="1"/>
        <v>119.4</v>
      </c>
      <c r="N30" s="108"/>
      <c r="O30" s="109">
        <f t="shared" si="2"/>
        <v>119.4</v>
      </c>
      <c r="P30" s="110"/>
    </row>
    <row r="31" spans="1:16" ht="15.6" x14ac:dyDescent="0.3">
      <c r="A31" s="17">
        <v>549110</v>
      </c>
      <c r="B31" s="111" t="s">
        <v>95</v>
      </c>
      <c r="C31" s="113"/>
      <c r="D31" s="114"/>
      <c r="E31" s="128"/>
      <c r="F31" s="115">
        <f t="shared" si="0"/>
        <v>0</v>
      </c>
      <c r="G31" s="34"/>
      <c r="H31" s="114"/>
      <c r="I31" s="36"/>
      <c r="J31" s="36">
        <v>3142.85</v>
      </c>
      <c r="K31" s="36"/>
      <c r="L31" s="36"/>
      <c r="M31" s="116">
        <f t="shared" si="1"/>
        <v>3142.85</v>
      </c>
      <c r="N31" s="108"/>
      <c r="O31" s="109">
        <f t="shared" si="2"/>
        <v>3142.85</v>
      </c>
      <c r="P31" s="110"/>
    </row>
    <row r="32" spans="1:16" ht="15.6" x14ac:dyDescent="0.3">
      <c r="A32" s="17">
        <v>549111</v>
      </c>
      <c r="B32" s="111" t="s">
        <v>92</v>
      </c>
      <c r="C32" s="113"/>
      <c r="D32" s="114"/>
      <c r="E32" s="129"/>
      <c r="F32" s="115">
        <f t="shared" si="0"/>
        <v>0</v>
      </c>
      <c r="G32" s="34"/>
      <c r="H32" s="114"/>
      <c r="I32" s="125"/>
      <c r="J32" s="125">
        <v>7340</v>
      </c>
      <c r="K32" s="36"/>
      <c r="L32" s="36"/>
      <c r="M32" s="116">
        <f t="shared" si="1"/>
        <v>7340</v>
      </c>
      <c r="N32" s="108"/>
      <c r="O32" s="109">
        <f t="shared" si="2"/>
        <v>7340</v>
      </c>
      <c r="P32" s="110"/>
    </row>
    <row r="33" spans="1:16" ht="15.6" x14ac:dyDescent="0.3">
      <c r="A33" s="17">
        <v>549112</v>
      </c>
      <c r="B33" s="111" t="s">
        <v>176</v>
      </c>
      <c r="C33" s="113"/>
      <c r="D33" s="127"/>
      <c r="E33" s="129"/>
      <c r="F33" s="115">
        <f t="shared" si="0"/>
        <v>0</v>
      </c>
      <c r="G33" s="34"/>
      <c r="H33" s="114"/>
      <c r="I33" s="36"/>
      <c r="J33" s="36">
        <v>1524</v>
      </c>
      <c r="K33" s="36"/>
      <c r="L33" s="36"/>
      <c r="M33" s="116">
        <f t="shared" si="1"/>
        <v>1524</v>
      </c>
      <c r="N33" s="108"/>
      <c r="O33" s="109">
        <f t="shared" si="2"/>
        <v>1524</v>
      </c>
      <c r="P33" s="110"/>
    </row>
    <row r="34" spans="1:16" ht="15.6" x14ac:dyDescent="0.3">
      <c r="A34" s="17">
        <v>549115</v>
      </c>
      <c r="B34" s="350" t="s">
        <v>37</v>
      </c>
      <c r="C34" s="113"/>
      <c r="D34" s="114">
        <v>3065.74</v>
      </c>
      <c r="E34" s="129"/>
      <c r="F34" s="115">
        <f t="shared" si="0"/>
        <v>3065.74</v>
      </c>
      <c r="G34" s="34"/>
      <c r="H34" s="114">
        <v>1870.25</v>
      </c>
      <c r="I34" s="36">
        <v>100.23</v>
      </c>
      <c r="J34" s="36"/>
      <c r="K34" s="36"/>
      <c r="L34" s="36"/>
      <c r="M34" s="116">
        <f t="shared" si="1"/>
        <v>1970.48</v>
      </c>
      <c r="N34" s="108"/>
      <c r="O34" s="109">
        <f t="shared" si="2"/>
        <v>5036.2199999999993</v>
      </c>
      <c r="P34" s="110"/>
    </row>
    <row r="35" spans="1:16" s="642" customFormat="1" ht="15.6" x14ac:dyDescent="0.3">
      <c r="A35" s="17">
        <v>549129</v>
      </c>
      <c r="B35" s="350" t="s">
        <v>388</v>
      </c>
      <c r="C35" s="113"/>
      <c r="D35" s="114"/>
      <c r="E35" s="129"/>
      <c r="F35" s="115">
        <f t="shared" si="0"/>
        <v>0</v>
      </c>
      <c r="G35" s="34"/>
      <c r="H35" s="114">
        <v>25000</v>
      </c>
      <c r="I35" s="36"/>
      <c r="J35" s="36"/>
      <c r="K35" s="36"/>
      <c r="L35" s="36"/>
      <c r="M35" s="116">
        <f t="shared" si="1"/>
        <v>25000</v>
      </c>
      <c r="N35" s="108"/>
      <c r="O35" s="109">
        <f t="shared" si="2"/>
        <v>25000</v>
      </c>
      <c r="P35" s="110"/>
    </row>
    <row r="36" spans="1:16" ht="15.6" x14ac:dyDescent="0.3">
      <c r="A36" s="17">
        <v>549130</v>
      </c>
      <c r="B36" s="350" t="s">
        <v>34</v>
      </c>
      <c r="C36" s="113"/>
      <c r="D36" s="114"/>
      <c r="E36" s="129"/>
      <c r="F36" s="115">
        <f t="shared" si="0"/>
        <v>0</v>
      </c>
      <c r="G36" s="34"/>
      <c r="H36" s="114"/>
      <c r="I36" s="36"/>
      <c r="J36" s="36">
        <v>44421.07</v>
      </c>
      <c r="K36" s="36"/>
      <c r="L36" s="36"/>
      <c r="M36" s="116">
        <f t="shared" si="1"/>
        <v>44421.07</v>
      </c>
      <c r="N36" s="108"/>
      <c r="O36" s="109">
        <f t="shared" si="2"/>
        <v>44421.07</v>
      </c>
      <c r="P36" s="110"/>
    </row>
    <row r="37" spans="1:16" s="642" customFormat="1" ht="15" customHeight="1" x14ac:dyDescent="0.3">
      <c r="A37" s="17">
        <v>549143</v>
      </c>
      <c r="B37" s="111" t="s">
        <v>525</v>
      </c>
      <c r="C37" s="113"/>
      <c r="D37" s="114"/>
      <c r="E37" s="129"/>
      <c r="F37" s="115">
        <f t="shared" si="0"/>
        <v>0</v>
      </c>
      <c r="G37" s="34"/>
      <c r="H37" s="114"/>
      <c r="I37" s="36"/>
      <c r="J37" s="36"/>
      <c r="K37" s="36">
        <v>40000</v>
      </c>
      <c r="L37" s="36"/>
      <c r="M37" s="116">
        <f>SUM(H37:L37)</f>
        <v>40000</v>
      </c>
      <c r="N37" s="108"/>
      <c r="O37" s="109">
        <f>F37+M37</f>
        <v>40000</v>
      </c>
      <c r="P37" s="110"/>
    </row>
    <row r="38" spans="1:16" ht="15.6" x14ac:dyDescent="0.3">
      <c r="A38" s="545">
        <v>549144</v>
      </c>
      <c r="B38" s="768" t="s">
        <v>320</v>
      </c>
      <c r="C38" s="769"/>
      <c r="D38" s="114"/>
      <c r="E38" s="129"/>
      <c r="F38" s="115">
        <f t="shared" si="0"/>
        <v>0</v>
      </c>
      <c r="G38" s="34"/>
      <c r="H38" s="114"/>
      <c r="I38" s="36">
        <v>227865</v>
      </c>
      <c r="J38" s="36"/>
      <c r="K38" s="36"/>
      <c r="L38" s="36"/>
      <c r="M38" s="116">
        <f t="shared" si="1"/>
        <v>227865</v>
      </c>
      <c r="N38" s="108"/>
      <c r="O38" s="109">
        <f t="shared" si="2"/>
        <v>227865</v>
      </c>
      <c r="P38" s="110"/>
    </row>
    <row r="39" spans="1:16" ht="15.6" x14ac:dyDescent="0.3">
      <c r="A39" s="17">
        <v>549145</v>
      </c>
      <c r="B39" s="111" t="s">
        <v>210</v>
      </c>
      <c r="C39" s="113"/>
      <c r="D39" s="114"/>
      <c r="E39" s="129"/>
      <c r="F39" s="115">
        <f t="shared" si="0"/>
        <v>0</v>
      </c>
      <c r="G39" s="34"/>
      <c r="H39" s="114"/>
      <c r="I39" s="36">
        <v>3322000</v>
      </c>
      <c r="J39" s="36"/>
      <c r="K39" s="36"/>
      <c r="L39" s="36"/>
      <c r="M39" s="116">
        <f t="shared" si="1"/>
        <v>3322000</v>
      </c>
      <c r="N39" s="108"/>
      <c r="O39" s="109">
        <f t="shared" si="2"/>
        <v>3322000</v>
      </c>
      <c r="P39" s="110"/>
    </row>
    <row r="40" spans="1:16" ht="15.6" x14ac:dyDescent="0.3">
      <c r="A40" s="17">
        <v>549151</v>
      </c>
      <c r="B40" s="111" t="s">
        <v>212</v>
      </c>
      <c r="C40" s="113"/>
      <c r="D40" s="114"/>
      <c r="E40" s="129"/>
      <c r="F40" s="115">
        <f t="shared" si="0"/>
        <v>0</v>
      </c>
      <c r="G40" s="34"/>
      <c r="H40" s="114"/>
      <c r="I40" s="36">
        <v>892970</v>
      </c>
      <c r="J40" s="36"/>
      <c r="K40" s="36"/>
      <c r="L40" s="36">
        <v>108000</v>
      </c>
      <c r="M40" s="116">
        <f t="shared" si="1"/>
        <v>1000970</v>
      </c>
      <c r="N40" s="108"/>
      <c r="O40" s="109">
        <f t="shared" si="2"/>
        <v>1000970</v>
      </c>
      <c r="P40" s="110"/>
    </row>
    <row r="41" spans="1:16" ht="15.6" x14ac:dyDescent="0.3">
      <c r="A41" s="17">
        <v>549168</v>
      </c>
      <c r="B41" s="111" t="s">
        <v>208</v>
      </c>
      <c r="C41" s="113"/>
      <c r="D41" s="114"/>
      <c r="E41" s="129">
        <v>12918.51</v>
      </c>
      <c r="F41" s="115">
        <f t="shared" si="0"/>
        <v>12918.51</v>
      </c>
      <c r="G41" s="34"/>
      <c r="H41" s="114">
        <v>180</v>
      </c>
      <c r="I41" s="36">
        <v>676</v>
      </c>
      <c r="J41" s="36">
        <v>38460.269999999997</v>
      </c>
      <c r="K41" s="36">
        <v>160</v>
      </c>
      <c r="L41" s="36">
        <v>1388.32</v>
      </c>
      <c r="M41" s="116">
        <f t="shared" si="1"/>
        <v>40864.589999999997</v>
      </c>
      <c r="N41" s="108"/>
      <c r="O41" s="109">
        <f t="shared" si="2"/>
        <v>53783.1</v>
      </c>
      <c r="P41" s="110"/>
    </row>
    <row r="42" spans="1:16" ht="15.6" x14ac:dyDescent="0.3">
      <c r="A42" s="17">
        <v>549180</v>
      </c>
      <c r="B42" s="111" t="s">
        <v>317</v>
      </c>
      <c r="C42" s="113"/>
      <c r="D42" s="114"/>
      <c r="E42" s="129">
        <v>783.47</v>
      </c>
      <c r="F42" s="115">
        <f t="shared" si="0"/>
        <v>783.47</v>
      </c>
      <c r="G42" s="34"/>
      <c r="H42" s="114"/>
      <c r="I42" s="36"/>
      <c r="J42" s="36">
        <v>2973.24</v>
      </c>
      <c r="K42" s="36"/>
      <c r="L42" s="36"/>
      <c r="M42" s="116">
        <f t="shared" si="1"/>
        <v>2973.24</v>
      </c>
      <c r="N42" s="108"/>
      <c r="O42" s="109">
        <f t="shared" si="2"/>
        <v>3756.71</v>
      </c>
      <c r="P42" s="110"/>
    </row>
    <row r="43" spans="1:16" ht="15.6" x14ac:dyDescent="0.3">
      <c r="A43" s="17">
        <v>549190</v>
      </c>
      <c r="B43" s="111" t="s">
        <v>99</v>
      </c>
      <c r="C43" s="113"/>
      <c r="D43" s="114"/>
      <c r="E43" s="129">
        <v>478.37</v>
      </c>
      <c r="F43" s="115">
        <f t="shared" si="0"/>
        <v>478.37</v>
      </c>
      <c r="G43" s="34"/>
      <c r="H43" s="114"/>
      <c r="I43" s="36"/>
      <c r="J43" s="36">
        <v>2772.72</v>
      </c>
      <c r="K43" s="36"/>
      <c r="L43" s="36"/>
      <c r="M43" s="116">
        <f t="shared" si="1"/>
        <v>2772.72</v>
      </c>
      <c r="N43" s="108"/>
      <c r="O43" s="109">
        <f t="shared" si="2"/>
        <v>3251.0899999999997</v>
      </c>
      <c r="P43" s="110"/>
    </row>
    <row r="44" spans="1:16" ht="15.6" x14ac:dyDescent="0.3">
      <c r="A44" s="17">
        <v>549197</v>
      </c>
      <c r="B44" s="111" t="s">
        <v>211</v>
      </c>
      <c r="C44" s="113"/>
      <c r="D44" s="114"/>
      <c r="E44" s="129"/>
      <c r="F44" s="115">
        <f t="shared" si="0"/>
        <v>0</v>
      </c>
      <c r="G44" s="34"/>
      <c r="H44" s="114"/>
      <c r="I44" s="36">
        <v>6693.09</v>
      </c>
      <c r="J44" s="36"/>
      <c r="K44" s="36"/>
      <c r="L44" s="36"/>
      <c r="M44" s="116">
        <f t="shared" si="1"/>
        <v>6693.09</v>
      </c>
      <c r="N44" s="108"/>
      <c r="O44" s="109">
        <f t="shared" si="2"/>
        <v>6693.09</v>
      </c>
      <c r="P44" s="110"/>
    </row>
    <row r="45" spans="1:16" ht="15.6" x14ac:dyDescent="0.3">
      <c r="A45" s="17">
        <v>549198</v>
      </c>
      <c r="B45" s="111" t="s">
        <v>190</v>
      </c>
      <c r="C45" s="113"/>
      <c r="D45" s="114"/>
      <c r="E45" s="129"/>
      <c r="F45" s="115">
        <f t="shared" si="0"/>
        <v>0</v>
      </c>
      <c r="G45" s="34"/>
      <c r="H45" s="114"/>
      <c r="I45" s="36"/>
      <c r="J45" s="36">
        <v>-301971.53999999998</v>
      </c>
      <c r="K45" s="36">
        <v>1087.02</v>
      </c>
      <c r="L45" s="36">
        <v>62854.32</v>
      </c>
      <c r="M45" s="116">
        <f t="shared" si="1"/>
        <v>-238030.19999999995</v>
      </c>
      <c r="N45" s="108"/>
      <c r="O45" s="109">
        <f t="shared" si="2"/>
        <v>-238030.19999999995</v>
      </c>
      <c r="P45" s="110"/>
    </row>
    <row r="46" spans="1:16" ht="15.6" x14ac:dyDescent="0.3">
      <c r="A46" s="17">
        <v>551130</v>
      </c>
      <c r="B46" s="111" t="s">
        <v>262</v>
      </c>
      <c r="C46" s="113"/>
      <c r="D46" s="114"/>
      <c r="E46" s="129"/>
      <c r="F46" s="115">
        <f t="shared" si="0"/>
        <v>0</v>
      </c>
      <c r="G46" s="34"/>
      <c r="H46" s="114"/>
      <c r="I46" s="36"/>
      <c r="J46" s="36">
        <v>465</v>
      </c>
      <c r="K46" s="36"/>
      <c r="L46" s="36"/>
      <c r="M46" s="116">
        <f t="shared" si="1"/>
        <v>465</v>
      </c>
      <c r="N46" s="108"/>
      <c r="O46" s="109">
        <f t="shared" si="2"/>
        <v>465</v>
      </c>
      <c r="P46" s="110"/>
    </row>
    <row r="47" spans="1:16" ht="15.6" x14ac:dyDescent="0.3">
      <c r="A47" s="17">
        <v>582110</v>
      </c>
      <c r="B47" s="111" t="s">
        <v>263</v>
      </c>
      <c r="C47" s="113"/>
      <c r="D47" s="114"/>
      <c r="E47" s="129"/>
      <c r="F47" s="115">
        <f t="shared" si="0"/>
        <v>0</v>
      </c>
      <c r="G47" s="34"/>
      <c r="H47" s="114">
        <v>23500</v>
      </c>
      <c r="I47" s="36"/>
      <c r="J47" s="36"/>
      <c r="K47" s="36"/>
      <c r="L47" s="36"/>
      <c r="M47" s="116">
        <f t="shared" si="1"/>
        <v>23500</v>
      </c>
      <c r="N47" s="108"/>
      <c r="O47" s="109">
        <f t="shared" si="2"/>
        <v>23500</v>
      </c>
      <c r="P47" s="110"/>
    </row>
    <row r="48" spans="1:16" ht="16.2" thickBot="1" x14ac:dyDescent="0.35">
      <c r="A48" s="17">
        <v>582119</v>
      </c>
      <c r="B48" s="438" t="s">
        <v>337</v>
      </c>
      <c r="C48" s="546"/>
      <c r="D48" s="114"/>
      <c r="E48" s="129"/>
      <c r="F48" s="108">
        <f t="shared" si="0"/>
        <v>0</v>
      </c>
      <c r="G48" s="34"/>
      <c r="H48" s="114">
        <v>77667</v>
      </c>
      <c r="I48" s="125"/>
      <c r="J48" s="125"/>
      <c r="K48" s="36"/>
      <c r="L48" s="125"/>
      <c r="M48" s="15">
        <f t="shared" si="1"/>
        <v>77667</v>
      </c>
      <c r="N48" s="108"/>
      <c r="O48" s="109">
        <f t="shared" si="2"/>
        <v>77667</v>
      </c>
      <c r="P48" s="110"/>
    </row>
    <row r="49" spans="1:16" ht="16.2" thickBot="1" x14ac:dyDescent="0.35">
      <c r="A49" s="20"/>
      <c r="B49" s="20"/>
      <c r="C49" s="20"/>
      <c r="D49" s="741">
        <f>SUM(D4:D48)</f>
        <v>28235.86</v>
      </c>
      <c r="E49" s="742">
        <f>SUM(E4:E48)</f>
        <v>1797719.3400000003</v>
      </c>
      <c r="F49" s="743">
        <f>SUM(F4:F48)</f>
        <v>1825955.2000000004</v>
      </c>
      <c r="G49" s="130"/>
      <c r="H49" s="741">
        <f t="shared" ref="H49:M49" si="3">SUM(H4:H48)</f>
        <v>261885.96</v>
      </c>
      <c r="I49" s="742">
        <f t="shared" si="3"/>
        <v>4645416.6399999997</v>
      </c>
      <c r="J49" s="742">
        <f t="shared" si="3"/>
        <v>5186215.0199999996</v>
      </c>
      <c r="K49" s="742">
        <f t="shared" si="3"/>
        <v>62654.999999999993</v>
      </c>
      <c r="L49" s="742">
        <f t="shared" si="3"/>
        <v>358000</v>
      </c>
      <c r="M49" s="744">
        <f t="shared" si="3"/>
        <v>10514172.620000001</v>
      </c>
      <c r="N49" s="130"/>
      <c r="O49" s="131">
        <f>SUM(O4:O48)</f>
        <v>12340127.820000002</v>
      </c>
      <c r="P49" s="20"/>
    </row>
    <row r="50" spans="1:16" ht="15.6" x14ac:dyDescent="0.3">
      <c r="A50" s="20"/>
      <c r="B50" s="20"/>
      <c r="C50" s="20"/>
      <c r="D50" s="30"/>
      <c r="E50" s="30"/>
      <c r="F50" s="117"/>
      <c r="G50" s="117"/>
      <c r="H50" s="30"/>
      <c r="I50" s="30"/>
      <c r="J50" s="30"/>
      <c r="K50" s="30"/>
      <c r="L50" s="30"/>
      <c r="M50" s="20"/>
      <c r="N50" s="20"/>
      <c r="O50" s="20"/>
      <c r="P50" s="20"/>
    </row>
    <row r="51" spans="1:16" ht="16.2" thickBot="1" x14ac:dyDescent="0.35">
      <c r="A51" s="17"/>
      <c r="B51" s="113"/>
      <c r="C51" s="20"/>
      <c r="D51" s="30"/>
      <c r="E51" s="30"/>
      <c r="F51" s="117"/>
      <c r="G51" s="117"/>
      <c r="H51" s="30"/>
      <c r="I51" s="30"/>
      <c r="J51" s="30"/>
      <c r="K51" s="30"/>
      <c r="L51" s="36"/>
      <c r="M51" s="264" t="s">
        <v>177</v>
      </c>
      <c r="N51" s="20"/>
      <c r="O51" s="265" t="s">
        <v>178</v>
      </c>
      <c r="P51" s="266" t="s">
        <v>130</v>
      </c>
    </row>
    <row r="52" spans="1:16" ht="15.6" x14ac:dyDescent="0.3">
      <c r="A52" s="17"/>
      <c r="B52" s="113"/>
      <c r="C52" s="120"/>
      <c r="D52" s="118" t="s">
        <v>93</v>
      </c>
      <c r="E52" s="117"/>
      <c r="F52" s="117"/>
      <c r="G52" s="30"/>
      <c r="H52" s="30"/>
      <c r="I52" s="30"/>
      <c r="J52" s="30"/>
      <c r="K52" s="30"/>
      <c r="L52" s="36"/>
      <c r="M52" s="267">
        <v>105</v>
      </c>
      <c r="O52" s="262">
        <f>D49+H49</f>
        <v>290121.82</v>
      </c>
      <c r="P52" s="119">
        <f>O52/$O$57</f>
        <v>2.3510438808404498E-2</v>
      </c>
    </row>
    <row r="53" spans="1:16" ht="15.6" x14ac:dyDescent="0.3">
      <c r="A53" s="17"/>
      <c r="B53" s="113"/>
      <c r="C53" s="120"/>
      <c r="D53" s="118" t="s">
        <v>165</v>
      </c>
      <c r="E53" s="117"/>
      <c r="F53" s="117"/>
      <c r="G53" s="20"/>
      <c r="H53" s="20"/>
      <c r="I53" s="20"/>
      <c r="J53" s="20"/>
      <c r="K53" s="121"/>
      <c r="L53" s="36"/>
      <c r="M53" s="267">
        <v>106</v>
      </c>
      <c r="O53" s="262">
        <f>I49</f>
        <v>4645416.6399999997</v>
      </c>
      <c r="P53" s="119">
        <f t="shared" ref="P53:P56" si="4">O53/$O$57</f>
        <v>0.37644801640312342</v>
      </c>
    </row>
    <row r="54" spans="1:16" ht="15.6" x14ac:dyDescent="0.3">
      <c r="A54" s="17"/>
      <c r="B54" s="113"/>
      <c r="C54" s="120"/>
      <c r="D54" s="201" t="s">
        <v>418</v>
      </c>
      <c r="E54" s="118"/>
      <c r="F54" s="201"/>
      <c r="G54" s="201"/>
      <c r="H54" s="201"/>
      <c r="I54" s="201"/>
      <c r="J54" s="20"/>
      <c r="K54" s="121"/>
      <c r="L54" s="36"/>
      <c r="M54" s="267">
        <v>107</v>
      </c>
      <c r="O54" s="262">
        <f>J49+E49</f>
        <v>6983934.3599999994</v>
      </c>
      <c r="P54" s="119">
        <f t="shared" si="4"/>
        <v>0.56595316206376212</v>
      </c>
    </row>
    <row r="55" spans="1:16" ht="15.6" x14ac:dyDescent="0.3">
      <c r="A55" s="17"/>
      <c r="B55" s="113"/>
      <c r="C55" s="122"/>
      <c r="D55" s="203" t="s">
        <v>94</v>
      </c>
      <c r="E55" s="118"/>
      <c r="F55" s="204"/>
      <c r="G55" s="203"/>
      <c r="H55" s="203"/>
      <c r="I55" s="203"/>
      <c r="J55" s="201"/>
      <c r="K55" s="201"/>
      <c r="L55" s="202"/>
      <c r="M55" s="267">
        <v>110</v>
      </c>
      <c r="O55" s="262">
        <f>K49</f>
        <v>62654.999999999993</v>
      </c>
      <c r="P55" s="119">
        <f t="shared" si="4"/>
        <v>5.0773380076706521E-3</v>
      </c>
    </row>
    <row r="56" spans="1:16" ht="16.2" thickBot="1" x14ac:dyDescent="0.35">
      <c r="A56" s="17"/>
      <c r="B56" s="113"/>
      <c r="C56" s="123"/>
      <c r="D56" s="203"/>
      <c r="E56" s="118"/>
      <c r="F56" s="204"/>
      <c r="G56" s="203"/>
      <c r="H56" s="203"/>
      <c r="I56" s="203"/>
      <c r="J56" s="203"/>
      <c r="K56" s="203"/>
      <c r="L56" s="205"/>
      <c r="M56" s="268">
        <v>117</v>
      </c>
      <c r="O56" s="262">
        <f>L49</f>
        <v>358000</v>
      </c>
      <c r="P56" s="266">
        <f t="shared" si="4"/>
        <v>2.9011044717039244E-2</v>
      </c>
    </row>
    <row r="57" spans="1:16" ht="16.2" thickBot="1" x14ac:dyDescent="0.35">
      <c r="A57" s="17"/>
      <c r="B57" s="113"/>
      <c r="C57" s="124"/>
      <c r="D57" s="598"/>
      <c r="E57" s="118"/>
      <c r="F57" s="598"/>
      <c r="G57" s="598"/>
      <c r="H57" s="598"/>
      <c r="I57" s="598"/>
      <c r="J57" s="598"/>
      <c r="K57" s="598"/>
      <c r="L57" s="36"/>
      <c r="M57" s="551" t="s">
        <v>131</v>
      </c>
      <c r="O57" s="263">
        <f>SUM(O52:O56)</f>
        <v>12340127.82</v>
      </c>
      <c r="P57" s="119">
        <f>SUM(P52:P56)</f>
        <v>0.99999999999999978</v>
      </c>
    </row>
    <row r="58" spans="1:16" ht="15.6" x14ac:dyDescent="0.3">
      <c r="A58" s="17"/>
      <c r="B58" s="113"/>
    </row>
    <row r="59" spans="1:16" ht="15.6" x14ac:dyDescent="0.3">
      <c r="A59" s="17"/>
      <c r="B59" s="113"/>
    </row>
    <row r="60" spans="1:16" ht="15.6" x14ac:dyDescent="0.3">
      <c r="A60" s="17"/>
      <c r="B60" s="437"/>
    </row>
    <row r="61" spans="1:16" ht="15.6" x14ac:dyDescent="0.3">
      <c r="A61" s="17"/>
      <c r="B61" s="437"/>
    </row>
    <row r="62" spans="1:16" ht="15.6" x14ac:dyDescent="0.3">
      <c r="A62" s="17"/>
      <c r="B62" s="113"/>
    </row>
    <row r="63" spans="1:16" ht="15.6" x14ac:dyDescent="0.3">
      <c r="A63" s="17"/>
      <c r="B63" s="113"/>
    </row>
    <row r="64" spans="1:16" ht="15.6" x14ac:dyDescent="0.3">
      <c r="A64" s="17"/>
      <c r="B64" s="113"/>
    </row>
    <row r="65" spans="1:2" x14ac:dyDescent="0.3">
      <c r="A65" s="427"/>
      <c r="B65" s="427"/>
    </row>
    <row r="66" spans="1:2" x14ac:dyDescent="0.3">
      <c r="A66" s="427"/>
      <c r="B66" s="427"/>
    </row>
  </sheetData>
  <mergeCells count="7">
    <mergeCell ref="B38:C38"/>
    <mergeCell ref="D2:F2"/>
    <mergeCell ref="H2:M2"/>
    <mergeCell ref="B3:C3"/>
    <mergeCell ref="B11:C11"/>
    <mergeCell ref="B10:C10"/>
    <mergeCell ref="B21:C21"/>
  </mergeCells>
  <pageMargins left="0.31496062992125984" right="0.31496062992125984" top="0.39370078740157483" bottom="0.3937007874015748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7"/>
  <sheetViews>
    <sheetView topLeftCell="A7" zoomScaleNormal="100" workbookViewId="0">
      <selection activeCell="G35" sqref="G35"/>
    </sheetView>
  </sheetViews>
  <sheetFormatPr defaultRowHeight="14.4" x14ac:dyDescent="0.3"/>
  <cols>
    <col min="1" max="1" width="17.6640625" style="595" customWidth="1"/>
    <col min="2" max="2" width="27.5546875" style="595" customWidth="1"/>
    <col min="3" max="7" width="14.6640625" style="595" customWidth="1"/>
    <col min="8" max="8" width="12.88671875" style="595" bestFit="1" customWidth="1"/>
    <col min="9" max="10" width="14.6640625" style="595" customWidth="1"/>
    <col min="11" max="11" width="9.88671875" style="595" customWidth="1"/>
    <col min="12" max="15" width="8.88671875" style="595"/>
    <col min="16" max="16" width="11.88671875" style="595" customWidth="1"/>
    <col min="17" max="16384" width="8.88671875" style="595"/>
  </cols>
  <sheetData>
    <row r="1" spans="1:11" ht="20.399999999999999" x14ac:dyDescent="0.35">
      <c r="A1" s="732" t="s">
        <v>534</v>
      </c>
      <c r="B1" s="20"/>
      <c r="C1" s="20"/>
      <c r="D1" s="20"/>
      <c r="E1" s="20"/>
      <c r="F1" s="20"/>
      <c r="G1" s="20"/>
      <c r="H1" s="433"/>
      <c r="I1" s="433"/>
      <c r="J1" s="20"/>
      <c r="K1" s="433"/>
    </row>
    <row r="2" spans="1:11" ht="15.6" x14ac:dyDescent="0.3">
      <c r="A2" s="20"/>
      <c r="B2" s="20"/>
      <c r="C2" s="20"/>
      <c r="D2" s="20"/>
      <c r="E2" s="335"/>
      <c r="F2" s="20"/>
      <c r="G2" s="20"/>
      <c r="H2" s="20"/>
      <c r="I2" s="20"/>
      <c r="J2" s="20"/>
    </row>
    <row r="3" spans="1:11" ht="16.2" thickBot="1" x14ac:dyDescent="0.35">
      <c r="A3" s="20"/>
      <c r="B3" s="20"/>
      <c r="C3" s="45"/>
      <c r="D3" s="45"/>
      <c r="E3" s="171"/>
      <c r="F3" s="171"/>
      <c r="G3" s="171"/>
      <c r="H3" s="559"/>
      <c r="I3" s="560"/>
      <c r="J3" s="20"/>
    </row>
    <row r="4" spans="1:11" ht="62.4" x14ac:dyDescent="0.3">
      <c r="A4" s="561" t="s">
        <v>134</v>
      </c>
      <c r="B4" s="166"/>
      <c r="C4" s="211" t="s">
        <v>158</v>
      </c>
      <c r="D4" s="212" t="s">
        <v>157</v>
      </c>
      <c r="E4" s="503" t="s">
        <v>159</v>
      </c>
      <c r="F4" s="182" t="s">
        <v>135</v>
      </c>
      <c r="G4" s="167" t="s">
        <v>160</v>
      </c>
      <c r="H4" s="182" t="s">
        <v>136</v>
      </c>
      <c r="I4" s="167" t="s">
        <v>161</v>
      </c>
      <c r="J4" s="182" t="s">
        <v>137</v>
      </c>
    </row>
    <row r="5" spans="1:11" ht="15.6" x14ac:dyDescent="0.3">
      <c r="A5" s="459">
        <f>C5+D5</f>
        <v>2282934</v>
      </c>
      <c r="B5" s="171" t="s">
        <v>153</v>
      </c>
      <c r="C5" s="207">
        <v>1657985</v>
      </c>
      <c r="D5" s="208">
        <v>624949</v>
      </c>
      <c r="E5" s="45">
        <f>706578+394478</f>
        <v>1101056</v>
      </c>
      <c r="F5" s="169">
        <f>E5/A5</f>
        <v>0.4822986560277257</v>
      </c>
      <c r="G5" s="45">
        <f>880964+230471</f>
        <v>1111435</v>
      </c>
      <c r="H5" s="169">
        <f>G5/A5</f>
        <v>0.48684499858515401</v>
      </c>
      <c r="I5" s="45">
        <f>70443+0</f>
        <v>70443</v>
      </c>
      <c r="J5" s="186">
        <f t="shared" ref="J5:J11" si="0">I5/A5</f>
        <v>3.085634538712026E-2</v>
      </c>
      <c r="K5" s="563">
        <f>A5-E5-G5-I5</f>
        <v>0</v>
      </c>
    </row>
    <row r="6" spans="1:11" ht="15.6" x14ac:dyDescent="0.3">
      <c r="A6" s="170">
        <f>A5/$A$21</f>
        <v>0.41874713398461433</v>
      </c>
      <c r="B6" s="171" t="s">
        <v>154</v>
      </c>
      <c r="C6" s="209"/>
      <c r="D6" s="210"/>
      <c r="E6" s="28"/>
      <c r="F6" s="28"/>
      <c r="G6" s="28"/>
      <c r="H6" s="28"/>
      <c r="I6" s="171"/>
      <c r="J6" s="187"/>
      <c r="K6" s="563"/>
    </row>
    <row r="7" spans="1:11" ht="15.6" x14ac:dyDescent="0.3">
      <c r="A7" s="459">
        <f>C7+D7</f>
        <v>731193</v>
      </c>
      <c r="B7" s="171" t="s">
        <v>138</v>
      </c>
      <c r="C7" s="207">
        <v>628972</v>
      </c>
      <c r="D7" s="208">
        <v>102221</v>
      </c>
      <c r="E7" s="45">
        <f>96739+0</f>
        <v>96739</v>
      </c>
      <c r="F7" s="168">
        <f>E7/A7</f>
        <v>0.13230296241895095</v>
      </c>
      <c r="G7" s="45">
        <f>532233+102221</f>
        <v>634454</v>
      </c>
      <c r="H7" s="169">
        <f>G7/A7</f>
        <v>0.8676970375810491</v>
      </c>
      <c r="I7" s="158">
        <f>0+0</f>
        <v>0</v>
      </c>
      <c r="J7" s="187">
        <f t="shared" si="0"/>
        <v>0</v>
      </c>
      <c r="K7" s="563">
        <f t="shared" ref="K7:K26" si="1">A7-E7-G7-I7</f>
        <v>0</v>
      </c>
    </row>
    <row r="8" spans="1:11" ht="15.6" x14ac:dyDescent="0.3">
      <c r="A8" s="170">
        <f>A7/$A$21</f>
        <v>0.13411906482605809</v>
      </c>
      <c r="B8" s="171" t="s">
        <v>139</v>
      </c>
      <c r="C8" s="209"/>
      <c r="D8" s="210"/>
      <c r="E8" s="28"/>
      <c r="F8" s="28"/>
      <c r="G8" s="28"/>
      <c r="H8" s="28"/>
      <c r="I8" s="171"/>
      <c r="J8" s="187"/>
      <c r="K8" s="563"/>
    </row>
    <row r="9" spans="1:11" ht="15.6" x14ac:dyDescent="0.3">
      <c r="A9" s="459">
        <f>C9+D9</f>
        <v>756643</v>
      </c>
      <c r="B9" s="171" t="s">
        <v>140</v>
      </c>
      <c r="C9" s="207">
        <v>541670</v>
      </c>
      <c r="D9" s="208">
        <v>214973</v>
      </c>
      <c r="E9" s="45">
        <f>449519+32806</f>
        <v>482325</v>
      </c>
      <c r="F9" s="169">
        <f>E9/A9</f>
        <v>0.6374538586889722</v>
      </c>
      <c r="G9" s="45">
        <f>34570+162033</f>
        <v>196603</v>
      </c>
      <c r="H9" s="169">
        <f>G9/A9</f>
        <v>0.25983588032929666</v>
      </c>
      <c r="I9" s="45">
        <f>57581+20134</f>
        <v>77715</v>
      </c>
      <c r="J9" s="187">
        <f t="shared" si="0"/>
        <v>0.10271026098173115</v>
      </c>
      <c r="K9" s="563">
        <f t="shared" si="1"/>
        <v>0</v>
      </c>
    </row>
    <row r="10" spans="1:11" ht="15.6" x14ac:dyDescent="0.3">
      <c r="A10" s="170">
        <f>A9/$A$21</f>
        <v>0.13878723068626625</v>
      </c>
      <c r="B10" s="171" t="s">
        <v>141</v>
      </c>
      <c r="C10" s="209"/>
      <c r="D10" s="210"/>
      <c r="E10" s="28"/>
      <c r="F10" s="28"/>
      <c r="G10" s="28"/>
      <c r="H10" s="28"/>
      <c r="I10" s="171"/>
      <c r="J10" s="187"/>
      <c r="K10" s="563"/>
    </row>
    <row r="11" spans="1:11" ht="15.6" x14ac:dyDescent="0.3">
      <c r="A11" s="459">
        <f>C11+D11</f>
        <v>4950</v>
      </c>
      <c r="B11" s="171" t="s">
        <v>155</v>
      </c>
      <c r="C11" s="207">
        <v>4950</v>
      </c>
      <c r="D11" s="208">
        <v>0</v>
      </c>
      <c r="E11" s="45">
        <f>0</f>
        <v>0</v>
      </c>
      <c r="F11" s="169">
        <f>E11/A11</f>
        <v>0</v>
      </c>
      <c r="G11" s="184">
        <f>0</f>
        <v>0</v>
      </c>
      <c r="H11" s="169">
        <f>G11/A11</f>
        <v>0</v>
      </c>
      <c r="I11" s="45">
        <f>4950+0</f>
        <v>4950</v>
      </c>
      <c r="J11" s="187">
        <f t="shared" si="0"/>
        <v>1</v>
      </c>
      <c r="K11" s="563">
        <f t="shared" si="1"/>
        <v>0</v>
      </c>
    </row>
    <row r="12" spans="1:11" ht="15.6" x14ac:dyDescent="0.3">
      <c r="A12" s="170">
        <f>A11/$A$21</f>
        <v>9.0795367418586824E-4</v>
      </c>
      <c r="B12" s="171" t="s">
        <v>156</v>
      </c>
      <c r="C12" s="209"/>
      <c r="D12" s="210"/>
      <c r="E12" s="28"/>
      <c r="F12" s="28"/>
      <c r="G12" s="28"/>
      <c r="H12" s="28"/>
      <c r="I12" s="171"/>
      <c r="J12" s="187"/>
      <c r="K12" s="563"/>
    </row>
    <row r="13" spans="1:11" ht="15.6" x14ac:dyDescent="0.3">
      <c r="A13" s="459">
        <f>C13+D13</f>
        <v>988300</v>
      </c>
      <c r="B13" s="171" t="s">
        <v>142</v>
      </c>
      <c r="C13" s="207">
        <v>783100</v>
      </c>
      <c r="D13" s="208">
        <v>205200</v>
      </c>
      <c r="E13" s="45">
        <f>327500+73500</f>
        <v>401000</v>
      </c>
      <c r="F13" s="169">
        <f>E13/A13</f>
        <v>0.40574724274005869</v>
      </c>
      <c r="G13" s="45">
        <f>438600+111700</f>
        <v>550300</v>
      </c>
      <c r="H13" s="169">
        <f>G13/A13</f>
        <v>0.55681473236871393</v>
      </c>
      <c r="I13" s="45">
        <f>17000+20000</f>
        <v>37000</v>
      </c>
      <c r="J13" s="187">
        <f>I13/A13</f>
        <v>3.7438024891227363E-2</v>
      </c>
      <c r="K13" s="563">
        <f t="shared" si="1"/>
        <v>0</v>
      </c>
    </row>
    <row r="14" spans="1:11" ht="15.6" x14ac:dyDescent="0.3">
      <c r="A14" s="170">
        <f>A13/$A$21</f>
        <v>0.18127891236321081</v>
      </c>
      <c r="B14" s="171" t="s">
        <v>143</v>
      </c>
      <c r="C14" s="209"/>
      <c r="D14" s="210"/>
      <c r="E14" s="28"/>
      <c r="F14" s="28"/>
      <c r="G14" s="28"/>
      <c r="H14" s="28"/>
      <c r="I14" s="171"/>
      <c r="J14" s="187"/>
      <c r="K14" s="563"/>
    </row>
    <row r="15" spans="1:11" ht="15.6" x14ac:dyDescent="0.3">
      <c r="A15" s="459">
        <f>C15+D15</f>
        <v>0</v>
      </c>
      <c r="B15" s="171" t="s">
        <v>144</v>
      </c>
      <c r="C15" s="207">
        <v>0</v>
      </c>
      <c r="D15" s="208">
        <v>0</v>
      </c>
      <c r="E15" s="45">
        <v>0</v>
      </c>
      <c r="F15" s="169">
        <v>0</v>
      </c>
      <c r="G15" s="45">
        <f>0</f>
        <v>0</v>
      </c>
      <c r="H15" s="169">
        <v>0</v>
      </c>
      <c r="I15" s="45">
        <f>0</f>
        <v>0</v>
      </c>
      <c r="J15" s="187">
        <v>0</v>
      </c>
      <c r="K15" s="563">
        <f t="shared" si="1"/>
        <v>0</v>
      </c>
    </row>
    <row r="16" spans="1:11" ht="15.6" x14ac:dyDescent="0.3">
      <c r="A16" s="170">
        <f>A15/$A$21</f>
        <v>0</v>
      </c>
      <c r="B16" s="171" t="s">
        <v>145</v>
      </c>
      <c r="C16" s="209"/>
      <c r="D16" s="210"/>
      <c r="E16" s="28"/>
      <c r="F16" s="169"/>
      <c r="G16" s="28"/>
      <c r="H16" s="169"/>
      <c r="I16" s="171"/>
      <c r="J16" s="187"/>
      <c r="K16" s="563"/>
    </row>
    <row r="17" spans="1:11" ht="15.6" x14ac:dyDescent="0.3">
      <c r="A17" s="460">
        <f>C17+D17</f>
        <v>18738</v>
      </c>
      <c r="B17" s="171" t="s">
        <v>217</v>
      </c>
      <c r="C17" s="207">
        <v>18738</v>
      </c>
      <c r="D17" s="208">
        <v>0</v>
      </c>
      <c r="E17" s="184">
        <f>18738+0</f>
        <v>18738</v>
      </c>
      <c r="F17" s="169">
        <f t="shared" ref="F17" si="2">E17/A17</f>
        <v>1</v>
      </c>
      <c r="G17" s="28">
        <f>0</f>
        <v>0</v>
      </c>
      <c r="H17" s="169">
        <f t="shared" ref="H17" si="3">G17/A17</f>
        <v>0</v>
      </c>
      <c r="I17" s="171">
        <f>0</f>
        <v>0</v>
      </c>
      <c r="J17" s="187">
        <f t="shared" ref="J17:J19" si="4">I17/A17</f>
        <v>0</v>
      </c>
      <c r="K17" s="563">
        <f t="shared" si="1"/>
        <v>0</v>
      </c>
    </row>
    <row r="18" spans="1:11" ht="15.6" x14ac:dyDescent="0.3">
      <c r="A18" s="181">
        <f>A17/A21</f>
        <v>3.43701736300905E-3</v>
      </c>
      <c r="B18" s="171" t="s">
        <v>218</v>
      </c>
      <c r="C18" s="209"/>
      <c r="D18" s="208"/>
      <c r="E18" s="28"/>
      <c r="F18" s="169"/>
      <c r="G18" s="28"/>
      <c r="H18" s="28"/>
      <c r="I18" s="171"/>
      <c r="J18" s="187"/>
      <c r="K18" s="563"/>
    </row>
    <row r="19" spans="1:11" ht="15.6" x14ac:dyDescent="0.3">
      <c r="A19" s="459">
        <f>C19+D19</f>
        <v>669062</v>
      </c>
      <c r="B19" s="171" t="s">
        <v>146</v>
      </c>
      <c r="C19" s="207">
        <v>524554</v>
      </c>
      <c r="D19" s="208">
        <v>144508</v>
      </c>
      <c r="E19" s="45">
        <f>170402+78384</f>
        <v>248786</v>
      </c>
      <c r="F19" s="169">
        <f>E19/A19</f>
        <v>0.3718429682152028</v>
      </c>
      <c r="G19" s="45">
        <f>331187+66124</f>
        <v>397311</v>
      </c>
      <c r="H19" s="169">
        <f>G19/A19</f>
        <v>0.59383285853926837</v>
      </c>
      <c r="I19" s="45">
        <f>22965+0</f>
        <v>22965</v>
      </c>
      <c r="J19" s="187">
        <f t="shared" si="4"/>
        <v>3.4324173245528812E-2</v>
      </c>
      <c r="K19" s="563">
        <f t="shared" si="1"/>
        <v>0</v>
      </c>
    </row>
    <row r="20" spans="1:11" ht="15.6" x14ac:dyDescent="0.3">
      <c r="A20" s="172">
        <f>A19/$A$21</f>
        <v>0.12272268710265563</v>
      </c>
      <c r="B20" s="171" t="s">
        <v>147</v>
      </c>
      <c r="C20" s="209"/>
      <c r="D20" s="210"/>
      <c r="E20" s="28"/>
      <c r="F20" s="28"/>
      <c r="G20" s="28"/>
      <c r="H20" s="28"/>
      <c r="I20" s="171"/>
      <c r="J20" s="19"/>
      <c r="K20" s="563"/>
    </row>
    <row r="21" spans="1:11" ht="18.600000000000001" thickBot="1" x14ac:dyDescent="0.4">
      <c r="A21" s="537">
        <f>SUM(A5,A7,A9,A11,A13,A15,A19,A17)</f>
        <v>5451820</v>
      </c>
      <c r="B21" s="504"/>
      <c r="C21" s="213">
        <f>SUM(C5,C7,C9,C11,C13,C15,C19,C17)</f>
        <v>4159969</v>
      </c>
      <c r="D21" s="214">
        <f>SUM(D5,D7,D9,D11,D13,D15,D19,D17)</f>
        <v>1291851</v>
      </c>
      <c r="E21" s="173">
        <f>SUM(E5,E7,E9,E11,E13,E15,E17,E19)</f>
        <v>2348644</v>
      </c>
      <c r="F21" s="174">
        <f>E21/$A$21</f>
        <v>0.43079998972820088</v>
      </c>
      <c r="G21" s="175">
        <f t="shared" ref="G21:I21" si="5">SUM(G5,G7,G9,G11,G13,G15,G19)</f>
        <v>2890103</v>
      </c>
      <c r="H21" s="174">
        <f>G21/$A$21</f>
        <v>0.53011709851022226</v>
      </c>
      <c r="I21" s="175">
        <f t="shared" si="5"/>
        <v>213073</v>
      </c>
      <c r="J21" s="174">
        <f>I21/$A$21</f>
        <v>3.9082911761576869E-2</v>
      </c>
      <c r="K21" s="563"/>
    </row>
    <row r="22" spans="1:11" ht="17.399999999999999" x14ac:dyDescent="0.3">
      <c r="A22" s="176"/>
      <c r="B22" s="30"/>
      <c r="C22" s="331"/>
      <c r="D22" s="331"/>
      <c r="E22" s="461"/>
      <c r="F22" s="461"/>
      <c r="G22" s="461"/>
      <c r="H22" s="461"/>
      <c r="I22" s="461"/>
      <c r="J22" s="598"/>
      <c r="K22" s="563"/>
    </row>
    <row r="23" spans="1:11" ht="18" thickBot="1" x14ac:dyDescent="0.35">
      <c r="A23" s="177" t="s">
        <v>148</v>
      </c>
      <c r="B23" s="171"/>
      <c r="C23" s="30"/>
      <c r="D23" s="30"/>
      <c r="E23" s="11"/>
      <c r="F23" s="11"/>
      <c r="G23" s="11"/>
      <c r="H23" s="11"/>
      <c r="I23" s="20"/>
      <c r="J23" s="20"/>
      <c r="K23" s="563"/>
    </row>
    <row r="24" spans="1:11" ht="15.6" x14ac:dyDescent="0.3">
      <c r="A24" s="459">
        <f>C24+D24</f>
        <v>1335760.676</v>
      </c>
      <c r="B24" s="171" t="s">
        <v>149</v>
      </c>
      <c r="C24" s="215">
        <v>1015381.644</v>
      </c>
      <c r="D24" s="216">
        <v>320379.03200000001</v>
      </c>
      <c r="E24" s="194">
        <f>423767.022+143633.652</f>
        <v>567400.674</v>
      </c>
      <c r="F24" s="188">
        <f>E24/A24</f>
        <v>0.42477719564189359</v>
      </c>
      <c r="G24" s="194">
        <f>549953.332+166792.13</f>
        <v>716745.46200000006</v>
      </c>
      <c r="H24" s="188">
        <f>G24/A24</f>
        <v>0.53658224476732541</v>
      </c>
      <c r="I24" s="194">
        <f>41661.29+9953.25</f>
        <v>51614.54</v>
      </c>
      <c r="J24" s="189">
        <f>I24/A24</f>
        <v>3.8640559590781068E-2</v>
      </c>
      <c r="K24" s="563">
        <f t="shared" si="1"/>
        <v>-8.0035533756017685E-11</v>
      </c>
    </row>
    <row r="25" spans="1:11" ht="15.6" x14ac:dyDescent="0.3">
      <c r="A25" s="172">
        <f>A24/$A$28</f>
        <v>0.73220624315181593</v>
      </c>
      <c r="B25" s="20" t="s">
        <v>150</v>
      </c>
      <c r="C25" s="217"/>
      <c r="D25" s="218"/>
      <c r="E25" s="618"/>
      <c r="F25" s="179"/>
      <c r="G25" s="179"/>
      <c r="H25" s="179"/>
      <c r="I25" s="598"/>
      <c r="J25" s="14"/>
      <c r="K25" s="563"/>
    </row>
    <row r="26" spans="1:11" ht="15.6" x14ac:dyDescent="0.3">
      <c r="A26" s="459">
        <f>C26+D26</f>
        <v>488534.99</v>
      </c>
      <c r="B26" s="171" t="s">
        <v>151</v>
      </c>
      <c r="C26" s="217">
        <v>372267.87</v>
      </c>
      <c r="D26" s="218">
        <v>116267.12</v>
      </c>
      <c r="E26" s="618">
        <f>153788.28+52125.93</f>
        <v>205914.21</v>
      </c>
      <c r="F26" s="190">
        <f>E26/A26</f>
        <v>0.42149326909010137</v>
      </c>
      <c r="G26" s="618">
        <f>203360.61+60529.11</f>
        <v>263889.71999999997</v>
      </c>
      <c r="H26" s="190">
        <f>G26/A26</f>
        <v>0.54016544444441938</v>
      </c>
      <c r="I26" s="618">
        <f>15118.98+3612.08</f>
        <v>18731.059999999998</v>
      </c>
      <c r="J26" s="191">
        <f>I26/A26</f>
        <v>3.8341286465479164E-2</v>
      </c>
      <c r="K26" s="563">
        <f t="shared" si="1"/>
        <v>5.8207660913467407E-11</v>
      </c>
    </row>
    <row r="27" spans="1:11" ht="15.6" x14ac:dyDescent="0.3">
      <c r="A27" s="172">
        <f>A26/$A$28</f>
        <v>0.26779375684818407</v>
      </c>
      <c r="B27" s="20" t="s">
        <v>152</v>
      </c>
      <c r="C27" s="219"/>
      <c r="D27" s="220"/>
      <c r="E27" s="192"/>
      <c r="F27" s="192"/>
      <c r="G27" s="192"/>
      <c r="H27" s="192"/>
      <c r="I27" s="18"/>
      <c r="J27" s="193"/>
      <c r="K27" s="563"/>
    </row>
    <row r="28" spans="1:11" ht="18" thickBot="1" x14ac:dyDescent="0.35">
      <c r="A28" s="537">
        <f>A24+A26</f>
        <v>1824295.666</v>
      </c>
      <c r="B28" s="598"/>
      <c r="C28" s="213">
        <f>C24+C26</f>
        <v>1387649.514</v>
      </c>
      <c r="D28" s="214">
        <f>D24+D26</f>
        <v>436646.152</v>
      </c>
      <c r="E28" s="365">
        <f>E24+E26</f>
        <v>773314.88399999996</v>
      </c>
      <c r="F28" s="174">
        <f>E28/$A$28</f>
        <v>0.42389778061337563</v>
      </c>
      <c r="G28" s="366">
        <f>G24+G26</f>
        <v>980635.18200000003</v>
      </c>
      <c r="H28" s="174">
        <f>G28/$A$28</f>
        <v>0.53754180327039158</v>
      </c>
      <c r="I28" s="366">
        <f>I24+I26</f>
        <v>70345.600000000006</v>
      </c>
      <c r="J28" s="174">
        <f>I28/$A$28</f>
        <v>3.8560416116232774E-2</v>
      </c>
    </row>
    <row r="29" spans="1:11" ht="15.6" x14ac:dyDescent="0.3">
      <c r="A29" s="178"/>
      <c r="B29" s="113"/>
      <c r="C29" s="124"/>
      <c r="D29" s="332"/>
      <c r="E29" s="462"/>
      <c r="F29" s="462"/>
      <c r="G29" s="28"/>
      <c r="H29" s="28"/>
      <c r="I29" s="171"/>
      <c r="J29" s="45"/>
    </row>
    <row r="30" spans="1:11" ht="15.6" x14ac:dyDescent="0.3">
      <c r="A30" s="269"/>
      <c r="B30" s="171"/>
      <c r="C30" s="45"/>
      <c r="D30" s="45"/>
      <c r="E30" s="26"/>
      <c r="F30" s="45" t="s">
        <v>269</v>
      </c>
      <c r="G30" s="20"/>
      <c r="H30" s="20"/>
      <c r="I30" s="20"/>
      <c r="J30" s="180"/>
    </row>
    <row r="31" spans="1:11" x14ac:dyDescent="0.3">
      <c r="A31" s="336"/>
      <c r="B31" s="185"/>
      <c r="C31" s="183"/>
      <c r="D31" s="185"/>
      <c r="E31" s="183"/>
      <c r="F31" s="185"/>
    </row>
    <row r="32" spans="1:11" ht="21" customHeight="1" thickBot="1" x14ac:dyDescent="0.35">
      <c r="A32" s="195"/>
      <c r="B32" s="196"/>
      <c r="C32" s="199">
        <v>7817</v>
      </c>
      <c r="D32" s="199">
        <v>7117</v>
      </c>
      <c r="E32" s="200" t="s">
        <v>14</v>
      </c>
      <c r="F32" s="196"/>
    </row>
    <row r="33" spans="1:11" ht="16.2" thickTop="1" x14ac:dyDescent="0.3">
      <c r="A33" s="198" t="s">
        <v>163</v>
      </c>
      <c r="B33" s="85"/>
      <c r="C33" s="464">
        <f>C21</f>
        <v>4159969</v>
      </c>
      <c r="D33" s="464">
        <f>D21</f>
        <v>1291851</v>
      </c>
      <c r="E33" s="464">
        <f>C33+D33</f>
        <v>5451820</v>
      </c>
      <c r="F33" s="197"/>
    </row>
    <row r="34" spans="1:11" ht="15.6" x14ac:dyDescent="0.3">
      <c r="A34" s="198" t="s">
        <v>164</v>
      </c>
      <c r="B34" s="58"/>
      <c r="C34" s="538">
        <f>C28</f>
        <v>1387649.514</v>
      </c>
      <c r="D34" s="538">
        <f>D28</f>
        <v>436646.152</v>
      </c>
      <c r="E34" s="538">
        <f t="shared" ref="E34:E35" si="6">C34+D34</f>
        <v>1824295.666</v>
      </c>
      <c r="F34" s="196"/>
    </row>
    <row r="35" spans="1:11" ht="16.2" thickBot="1" x14ac:dyDescent="0.35">
      <c r="A35" s="511" t="s">
        <v>318</v>
      </c>
      <c r="B35" s="58"/>
      <c r="C35" s="465">
        <v>18738</v>
      </c>
      <c r="D35" s="465">
        <f>D17</f>
        <v>0</v>
      </c>
      <c r="E35" s="465">
        <f t="shared" si="6"/>
        <v>18738</v>
      </c>
      <c r="F35" s="196"/>
    </row>
    <row r="36" spans="1:11" ht="22.5" customHeight="1" thickTop="1" x14ac:dyDescent="0.3">
      <c r="A36" s="196"/>
      <c r="B36" s="196"/>
      <c r="C36" s="463">
        <f>SUM(C33:C34)</f>
        <v>5547618.5140000004</v>
      </c>
      <c r="D36" s="463">
        <f>SUM(D33:D34)</f>
        <v>1728497.152</v>
      </c>
      <c r="E36" s="463">
        <f>SUM(E33:E34)</f>
        <v>7276115.6660000002</v>
      </c>
      <c r="F36" s="195"/>
      <c r="G36" s="9"/>
    </row>
    <row r="37" spans="1:11" x14ac:dyDescent="0.3">
      <c r="A37" s="196"/>
      <c r="B37" s="196"/>
      <c r="C37" s="196"/>
      <c r="D37" s="196"/>
      <c r="E37" s="197"/>
      <c r="F37" s="196"/>
    </row>
    <row r="38" spans="1:11" x14ac:dyDescent="0.3">
      <c r="A38" s="206" t="s">
        <v>162</v>
      </c>
    </row>
    <row r="39" spans="1:11" ht="66.75" customHeight="1" x14ac:dyDescent="0.3">
      <c r="A39" s="777" t="s">
        <v>345</v>
      </c>
      <c r="B39" s="777"/>
      <c r="C39" s="777"/>
      <c r="D39" s="777"/>
      <c r="E39" s="777"/>
      <c r="F39" s="777"/>
      <c r="G39" s="777"/>
      <c r="H39" s="777"/>
      <c r="I39" s="777"/>
      <c r="J39" s="777"/>
      <c r="K39" s="525"/>
    </row>
    <row r="40" spans="1:11" ht="66.75" customHeight="1" x14ac:dyDescent="0.3">
      <c r="A40" s="777" t="s">
        <v>346</v>
      </c>
      <c r="B40" s="777"/>
      <c r="C40" s="777"/>
      <c r="D40" s="777"/>
      <c r="E40" s="777"/>
      <c r="F40" s="777"/>
      <c r="G40" s="777"/>
      <c r="H40" s="777"/>
      <c r="I40" s="777"/>
      <c r="J40" s="777"/>
      <c r="K40" s="525"/>
    </row>
    <row r="41" spans="1:11" x14ac:dyDescent="0.3">
      <c r="A41" s="525"/>
      <c r="B41" s="525"/>
      <c r="C41" s="525"/>
      <c r="D41" s="525"/>
      <c r="E41" s="525"/>
      <c r="F41" s="525"/>
      <c r="G41" s="525"/>
      <c r="H41" s="525"/>
      <c r="I41" s="525"/>
      <c r="J41" s="525"/>
      <c r="K41" s="525"/>
    </row>
    <row r="42" spans="1:11" x14ac:dyDescent="0.3">
      <c r="A42" s="762"/>
      <c r="B42" s="762"/>
      <c r="C42" s="762"/>
      <c r="D42" s="525"/>
      <c r="E42" s="525"/>
      <c r="F42" s="525"/>
      <c r="G42" s="525"/>
      <c r="H42" s="525"/>
      <c r="I42" s="525"/>
      <c r="J42" s="525"/>
      <c r="K42" s="525"/>
    </row>
    <row r="43" spans="1:11" x14ac:dyDescent="0.3">
      <c r="A43" s="525"/>
      <c r="B43" s="525"/>
      <c r="C43" s="525"/>
      <c r="D43" s="525"/>
      <c r="E43" s="525"/>
      <c r="F43" s="525"/>
      <c r="G43" s="525"/>
      <c r="H43" s="525"/>
      <c r="I43" s="525"/>
      <c r="J43" s="525"/>
      <c r="K43" s="525"/>
    </row>
    <row r="44" spans="1:11" x14ac:dyDescent="0.3">
      <c r="A44" s="525"/>
      <c r="B44" s="525"/>
      <c r="C44" s="525"/>
      <c r="D44" s="525"/>
      <c r="E44" s="525"/>
      <c r="F44" s="525"/>
      <c r="G44" s="525"/>
      <c r="H44" s="525"/>
      <c r="I44" s="525"/>
      <c r="J44" s="525"/>
      <c r="K44" s="525"/>
    </row>
    <row r="45" spans="1:11" x14ac:dyDescent="0.3">
      <c r="A45" s="525"/>
      <c r="B45" s="525"/>
      <c r="C45" s="525"/>
      <c r="D45" s="525"/>
      <c r="E45" s="525"/>
      <c r="F45" s="525"/>
      <c r="G45" s="525"/>
      <c r="H45" s="525"/>
      <c r="I45" s="525"/>
      <c r="J45" s="525"/>
      <c r="K45" s="525"/>
    </row>
    <row r="46" spans="1:11" x14ac:dyDescent="0.3">
      <c r="A46" s="525"/>
      <c r="B46" s="525"/>
      <c r="C46" s="525"/>
      <c r="D46" s="525"/>
      <c r="E46" s="525"/>
      <c r="F46" s="525"/>
      <c r="G46" s="525"/>
      <c r="H46" s="525"/>
      <c r="I46" s="525"/>
      <c r="J46" s="525"/>
      <c r="K46" s="525"/>
    </row>
    <row r="47" spans="1:11" x14ac:dyDescent="0.3">
      <c r="A47" s="525"/>
      <c r="B47" s="525"/>
      <c r="C47" s="525"/>
      <c r="D47" s="525"/>
      <c r="E47" s="525"/>
      <c r="F47" s="525"/>
      <c r="G47" s="525"/>
      <c r="H47" s="525"/>
      <c r="I47" s="525"/>
      <c r="J47" s="525"/>
      <c r="K47" s="525"/>
    </row>
  </sheetData>
  <mergeCells count="3">
    <mergeCell ref="A42:C42"/>
    <mergeCell ref="A39:J39"/>
    <mergeCell ref="A40:J40"/>
  </mergeCells>
  <pageMargins left="0.31496062992125984" right="0.31496062992125984" top="0.39370078740157483" bottom="0.3937007874015748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83"/>
  <sheetViews>
    <sheetView topLeftCell="A16" zoomScaleNormal="100" workbookViewId="0">
      <selection activeCell="K11" sqref="K11"/>
    </sheetView>
  </sheetViews>
  <sheetFormatPr defaultRowHeight="14.4" x14ac:dyDescent="0.3"/>
  <cols>
    <col min="1" max="1" width="6.109375" style="595" customWidth="1"/>
    <col min="2" max="2" width="9.88671875" style="595" customWidth="1"/>
    <col min="3" max="3" width="15.33203125" style="595" customWidth="1"/>
    <col min="4" max="4" width="50.33203125" style="595" customWidth="1"/>
    <col min="5" max="5" width="18.5546875" style="595" customWidth="1"/>
    <col min="6" max="7" width="14.6640625" style="595" customWidth="1"/>
    <col min="8" max="8" width="18" style="595" customWidth="1"/>
    <col min="9" max="9" width="3.6640625" style="595" customWidth="1"/>
    <col min="10" max="10" width="11.6640625" style="525" customWidth="1"/>
    <col min="11" max="11" width="16.44140625" style="595" customWidth="1"/>
    <col min="12" max="13" width="8.88671875" style="595"/>
    <col min="14" max="14" width="16.44140625" style="595" customWidth="1"/>
    <col min="15" max="15" width="8.33203125" style="595" customWidth="1"/>
    <col min="16" max="16" width="11.88671875" style="595" customWidth="1"/>
    <col min="17" max="16384" width="8.88671875" style="595"/>
  </cols>
  <sheetData>
    <row r="1" spans="1:14" ht="21" x14ac:dyDescent="0.4">
      <c r="A1" s="310" t="s">
        <v>452</v>
      </c>
      <c r="E1" s="335"/>
      <c r="F1" s="641"/>
      <c r="G1" s="553"/>
      <c r="H1" s="433"/>
    </row>
    <row r="2" spans="1:14" ht="28.2" x14ac:dyDescent="0.3">
      <c r="A2" s="258" t="s">
        <v>192</v>
      </c>
      <c r="B2" s="258" t="s">
        <v>59</v>
      </c>
      <c r="C2" s="258" t="s">
        <v>81</v>
      </c>
      <c r="D2" s="258" t="s">
        <v>83</v>
      </c>
      <c r="E2" s="258" t="s">
        <v>84</v>
      </c>
      <c r="F2" s="258" t="s">
        <v>80</v>
      </c>
      <c r="G2" s="258" t="s">
        <v>82</v>
      </c>
      <c r="H2" s="259" t="s">
        <v>378</v>
      </c>
      <c r="J2" s="258" t="s">
        <v>243</v>
      </c>
    </row>
    <row r="3" spans="1:14" ht="15.6" x14ac:dyDescent="0.3">
      <c r="A3" s="51">
        <v>1</v>
      </c>
      <c r="B3" s="74">
        <v>7620</v>
      </c>
      <c r="C3" s="82">
        <v>13265</v>
      </c>
      <c r="D3" s="449" t="s">
        <v>240</v>
      </c>
      <c r="E3" s="105" t="s">
        <v>537</v>
      </c>
      <c r="F3" s="80">
        <v>1828000</v>
      </c>
      <c r="G3" s="80">
        <v>1828000</v>
      </c>
      <c r="H3" s="367">
        <f t="shared" ref="H3:H39" si="0">F3-G3</f>
        <v>0</v>
      </c>
      <c r="J3" s="274" t="s">
        <v>240</v>
      </c>
      <c r="N3" s="423"/>
    </row>
    <row r="4" spans="1:14" s="642" customFormat="1" ht="15.6" x14ac:dyDescent="0.3">
      <c r="A4" s="51">
        <v>2</v>
      </c>
      <c r="B4" s="74">
        <v>7620</v>
      </c>
      <c r="C4" s="82">
        <v>17808</v>
      </c>
      <c r="D4" s="449" t="s">
        <v>538</v>
      </c>
      <c r="E4" s="105" t="s">
        <v>539</v>
      </c>
      <c r="F4" s="80">
        <v>960000</v>
      </c>
      <c r="G4" s="80">
        <v>960000</v>
      </c>
      <c r="H4" s="367">
        <f t="shared" si="0"/>
        <v>0</v>
      </c>
      <c r="J4" s="274" t="s">
        <v>241</v>
      </c>
      <c r="N4" s="423"/>
    </row>
    <row r="5" spans="1:14" s="642" customFormat="1" ht="15.6" x14ac:dyDescent="0.3">
      <c r="A5" s="51">
        <v>3</v>
      </c>
      <c r="B5" s="74">
        <v>7620</v>
      </c>
      <c r="C5" s="82">
        <v>17828</v>
      </c>
      <c r="D5" s="449" t="s">
        <v>540</v>
      </c>
      <c r="E5" s="105" t="s">
        <v>541</v>
      </c>
      <c r="F5" s="80">
        <v>1343520</v>
      </c>
      <c r="G5" s="80">
        <v>1343520</v>
      </c>
      <c r="H5" s="367">
        <f t="shared" si="0"/>
        <v>0</v>
      </c>
      <c r="J5" s="274" t="s">
        <v>239</v>
      </c>
      <c r="N5" s="423"/>
    </row>
    <row r="6" spans="1:14" ht="15.6" x14ac:dyDescent="0.3">
      <c r="A6" s="51">
        <v>4</v>
      </c>
      <c r="B6" s="78">
        <v>7630</v>
      </c>
      <c r="C6" s="82">
        <v>13258</v>
      </c>
      <c r="D6" s="449" t="s">
        <v>308</v>
      </c>
      <c r="E6" s="534" t="s">
        <v>544</v>
      </c>
      <c r="F6" s="80">
        <v>975569.55</v>
      </c>
      <c r="G6" s="80">
        <v>975569.55</v>
      </c>
      <c r="H6" s="367">
        <f t="shared" si="0"/>
        <v>0</v>
      </c>
      <c r="J6" s="274" t="s">
        <v>240</v>
      </c>
      <c r="N6" s="423"/>
    </row>
    <row r="7" spans="1:14" ht="15.6" x14ac:dyDescent="0.3">
      <c r="A7" s="51">
        <v>5</v>
      </c>
      <c r="B7" s="78">
        <v>7630</v>
      </c>
      <c r="C7" s="82">
        <v>14238</v>
      </c>
      <c r="D7" s="449" t="s">
        <v>239</v>
      </c>
      <c r="E7" s="534" t="s">
        <v>558</v>
      </c>
      <c r="F7" s="80">
        <v>247578.79</v>
      </c>
      <c r="G7" s="80">
        <v>247578.79</v>
      </c>
      <c r="H7" s="367">
        <f t="shared" ref="H7:H13" si="1">F7-G7</f>
        <v>0</v>
      </c>
      <c r="I7" s="621"/>
      <c r="J7" s="274" t="s">
        <v>239</v>
      </c>
      <c r="N7" s="423"/>
    </row>
    <row r="8" spans="1:14" ht="15.6" x14ac:dyDescent="0.3">
      <c r="A8" s="51">
        <v>6</v>
      </c>
      <c r="B8" s="78">
        <v>7630</v>
      </c>
      <c r="C8" s="82">
        <v>14271</v>
      </c>
      <c r="D8" s="449" t="s">
        <v>542</v>
      </c>
      <c r="E8" s="534" t="s">
        <v>543</v>
      </c>
      <c r="F8" s="80">
        <v>2802930</v>
      </c>
      <c r="G8" s="80">
        <v>2802930</v>
      </c>
      <c r="H8" s="367">
        <f t="shared" si="1"/>
        <v>0</v>
      </c>
      <c r="I8" s="621"/>
      <c r="J8" s="274" t="s">
        <v>239</v>
      </c>
      <c r="N8" s="423"/>
    </row>
    <row r="9" spans="1:14" ht="15.6" x14ac:dyDescent="0.3">
      <c r="A9" s="51">
        <v>7</v>
      </c>
      <c r="B9" s="78">
        <v>7630</v>
      </c>
      <c r="C9" s="82">
        <v>15614</v>
      </c>
      <c r="D9" s="449" t="s">
        <v>545</v>
      </c>
      <c r="E9" s="534" t="s">
        <v>546</v>
      </c>
      <c r="F9" s="80">
        <v>348155.61</v>
      </c>
      <c r="G9" s="80">
        <v>348155.61</v>
      </c>
      <c r="H9" s="367">
        <f t="shared" si="1"/>
        <v>0</v>
      </c>
      <c r="I9" s="621"/>
      <c r="J9" s="274" t="s">
        <v>242</v>
      </c>
      <c r="N9" s="423"/>
    </row>
    <row r="10" spans="1:14" ht="15.6" x14ac:dyDescent="0.3">
      <c r="A10" s="51">
        <v>8</v>
      </c>
      <c r="B10" s="78">
        <v>7630</v>
      </c>
      <c r="C10" s="82">
        <v>17817</v>
      </c>
      <c r="D10" s="449" t="s">
        <v>547</v>
      </c>
      <c r="E10" s="105" t="s">
        <v>548</v>
      </c>
      <c r="F10" s="80">
        <v>684668.59</v>
      </c>
      <c r="G10" s="80">
        <v>684668.59</v>
      </c>
      <c r="H10" s="367">
        <f t="shared" si="1"/>
        <v>0</v>
      </c>
      <c r="I10" s="621"/>
      <c r="J10" s="274" t="s">
        <v>241</v>
      </c>
      <c r="N10" s="423"/>
    </row>
    <row r="11" spans="1:14" ht="15.6" x14ac:dyDescent="0.3">
      <c r="A11" s="51">
        <v>9</v>
      </c>
      <c r="B11" s="78">
        <v>7630</v>
      </c>
      <c r="C11" s="82">
        <v>17822</v>
      </c>
      <c r="D11" s="449" t="s">
        <v>549</v>
      </c>
      <c r="E11" s="56" t="s">
        <v>550</v>
      </c>
      <c r="F11" s="80">
        <v>1045994.54</v>
      </c>
      <c r="G11" s="80">
        <v>1045994.54</v>
      </c>
      <c r="H11" s="367">
        <f t="shared" si="1"/>
        <v>0</v>
      </c>
      <c r="I11" s="621"/>
      <c r="J11" s="274" t="s">
        <v>241</v>
      </c>
      <c r="N11" s="423"/>
    </row>
    <row r="12" spans="1:14" ht="15.6" x14ac:dyDescent="0.3">
      <c r="A12" s="51">
        <v>10</v>
      </c>
      <c r="B12" s="78">
        <v>7630</v>
      </c>
      <c r="C12" s="82">
        <v>17831</v>
      </c>
      <c r="D12" s="449" t="s">
        <v>551</v>
      </c>
      <c r="E12" s="56" t="s">
        <v>541</v>
      </c>
      <c r="F12" s="80">
        <v>2380925</v>
      </c>
      <c r="G12" s="80">
        <v>2380925</v>
      </c>
      <c r="H12" s="367">
        <f t="shared" si="1"/>
        <v>0</v>
      </c>
      <c r="I12" s="621"/>
      <c r="J12" s="274" t="s">
        <v>239</v>
      </c>
      <c r="N12" s="423"/>
    </row>
    <row r="13" spans="1:14" ht="15.6" x14ac:dyDescent="0.3">
      <c r="A13" s="51">
        <v>11</v>
      </c>
      <c r="B13" s="78">
        <v>7630</v>
      </c>
      <c r="C13" s="82">
        <v>17836</v>
      </c>
      <c r="D13" s="449" t="s">
        <v>552</v>
      </c>
      <c r="E13" s="534" t="s">
        <v>553</v>
      </c>
      <c r="F13" s="80">
        <v>1430130</v>
      </c>
      <c r="G13" s="80">
        <v>1430130</v>
      </c>
      <c r="H13" s="367">
        <f t="shared" si="1"/>
        <v>0</v>
      </c>
      <c r="I13" s="621"/>
      <c r="J13" s="274" t="s">
        <v>239</v>
      </c>
      <c r="N13" s="423"/>
    </row>
    <row r="14" spans="1:14" ht="15.6" x14ac:dyDescent="0.3">
      <c r="A14" s="51">
        <v>12</v>
      </c>
      <c r="B14" s="78">
        <v>7630</v>
      </c>
      <c r="C14" s="82">
        <v>17966</v>
      </c>
      <c r="D14" s="449" t="s">
        <v>554</v>
      </c>
      <c r="E14" s="534" t="s">
        <v>555</v>
      </c>
      <c r="F14" s="80">
        <v>207804.22</v>
      </c>
      <c r="G14" s="80">
        <v>207804.22</v>
      </c>
      <c r="H14" s="367">
        <f t="shared" si="0"/>
        <v>0</v>
      </c>
      <c r="J14" s="274" t="s">
        <v>239</v>
      </c>
      <c r="N14" s="423"/>
    </row>
    <row r="15" spans="1:14" ht="15.6" x14ac:dyDescent="0.3">
      <c r="A15" s="51">
        <v>13</v>
      </c>
      <c r="B15" s="78">
        <v>7630</v>
      </c>
      <c r="C15" s="82">
        <v>17984</v>
      </c>
      <c r="D15" s="449" t="s">
        <v>384</v>
      </c>
      <c r="E15" s="534" t="s">
        <v>556</v>
      </c>
      <c r="F15" s="80">
        <v>4220225.7</v>
      </c>
      <c r="G15" s="80">
        <v>4220225.7</v>
      </c>
      <c r="H15" s="367">
        <f t="shared" si="0"/>
        <v>0</v>
      </c>
      <c r="J15" s="274" t="s">
        <v>239</v>
      </c>
      <c r="N15" s="423"/>
    </row>
    <row r="16" spans="1:14" ht="15.6" x14ac:dyDescent="0.3">
      <c r="A16" s="51">
        <v>14</v>
      </c>
      <c r="B16" s="78">
        <v>7630</v>
      </c>
      <c r="C16" s="82">
        <v>20013</v>
      </c>
      <c r="D16" s="449" t="s">
        <v>390</v>
      </c>
      <c r="E16" s="105" t="s">
        <v>557</v>
      </c>
      <c r="F16" s="80">
        <v>1090446.17</v>
      </c>
      <c r="G16" s="80">
        <v>1090446.17</v>
      </c>
      <c r="H16" s="367">
        <f t="shared" si="0"/>
        <v>0</v>
      </c>
      <c r="J16" s="274" t="s">
        <v>380</v>
      </c>
      <c r="N16" s="424"/>
    </row>
    <row r="17" spans="1:14" ht="15.6" x14ac:dyDescent="0.3">
      <c r="A17" s="51">
        <v>15</v>
      </c>
      <c r="B17" s="78">
        <v>7630</v>
      </c>
      <c r="C17" s="82">
        <v>20034</v>
      </c>
      <c r="D17" s="449" t="s">
        <v>521</v>
      </c>
      <c r="E17" s="105" t="s">
        <v>398</v>
      </c>
      <c r="F17" s="80">
        <v>274627.86</v>
      </c>
      <c r="G17" s="80">
        <v>274627.86</v>
      </c>
      <c r="H17" s="367">
        <f t="shared" si="0"/>
        <v>0</v>
      </c>
      <c r="J17" s="274" t="s">
        <v>380</v>
      </c>
      <c r="N17" s="1"/>
    </row>
    <row r="18" spans="1:14" s="642" customFormat="1" ht="15.6" x14ac:dyDescent="0.3">
      <c r="A18" s="51">
        <v>16</v>
      </c>
      <c r="B18" s="78">
        <v>7630</v>
      </c>
      <c r="C18" s="82">
        <v>19198</v>
      </c>
      <c r="D18" s="449" t="s">
        <v>575</v>
      </c>
      <c r="E18" s="105" t="s">
        <v>576</v>
      </c>
      <c r="F18" s="80">
        <v>369153.06</v>
      </c>
      <c r="G18" s="80">
        <v>362895.92</v>
      </c>
      <c r="H18" s="367">
        <f t="shared" si="0"/>
        <v>6257.140000000014</v>
      </c>
      <c r="J18" s="274" t="s">
        <v>242</v>
      </c>
      <c r="N18" s="1"/>
    </row>
    <row r="19" spans="1:14" s="642" customFormat="1" ht="15.6" x14ac:dyDescent="0.3">
      <c r="A19" s="51">
        <v>17</v>
      </c>
      <c r="B19" s="78">
        <v>7630</v>
      </c>
      <c r="C19" s="82">
        <v>19201</v>
      </c>
      <c r="D19" s="449" t="s">
        <v>577</v>
      </c>
      <c r="E19" s="105" t="s">
        <v>578</v>
      </c>
      <c r="F19" s="80">
        <v>499000</v>
      </c>
      <c r="G19" s="80">
        <v>484652.09</v>
      </c>
      <c r="H19" s="367">
        <f t="shared" si="0"/>
        <v>14347.909999999974</v>
      </c>
      <c r="J19" s="274" t="s">
        <v>242</v>
      </c>
      <c r="N19" s="1"/>
    </row>
    <row r="20" spans="1:14" s="621" customFormat="1" ht="15.6" x14ac:dyDescent="0.3">
      <c r="A20" s="51">
        <v>18</v>
      </c>
      <c r="B20" s="77">
        <v>7640</v>
      </c>
      <c r="C20" s="82">
        <v>13262</v>
      </c>
      <c r="D20" s="449" t="s">
        <v>240</v>
      </c>
      <c r="E20" s="105" t="s">
        <v>396</v>
      </c>
      <c r="F20" s="80">
        <v>1848642.11</v>
      </c>
      <c r="G20" s="80">
        <v>1848642.11</v>
      </c>
      <c r="H20" s="367">
        <f t="shared" si="0"/>
        <v>0</v>
      </c>
      <c r="J20" s="274" t="s">
        <v>240</v>
      </c>
      <c r="N20" s="1"/>
    </row>
    <row r="21" spans="1:14" s="621" customFormat="1" ht="15.6" x14ac:dyDescent="0.3">
      <c r="A21" s="51">
        <v>19</v>
      </c>
      <c r="B21" s="77">
        <v>7640</v>
      </c>
      <c r="C21" s="82">
        <v>13263</v>
      </c>
      <c r="D21" s="449" t="s">
        <v>240</v>
      </c>
      <c r="E21" s="105" t="s">
        <v>396</v>
      </c>
      <c r="F21" s="80">
        <v>2422741.1</v>
      </c>
      <c r="G21" s="80">
        <v>2422741.1</v>
      </c>
      <c r="H21" s="367">
        <f t="shared" si="0"/>
        <v>0</v>
      </c>
      <c r="J21" s="274" t="s">
        <v>240</v>
      </c>
      <c r="N21" s="1"/>
    </row>
    <row r="22" spans="1:14" s="621" customFormat="1" ht="15.6" x14ac:dyDescent="0.3">
      <c r="A22" s="51">
        <v>20</v>
      </c>
      <c r="B22" s="77">
        <v>7640</v>
      </c>
      <c r="C22" s="82">
        <v>14245</v>
      </c>
      <c r="D22" s="449" t="s">
        <v>239</v>
      </c>
      <c r="E22" s="105" t="s">
        <v>562</v>
      </c>
      <c r="F22" s="80">
        <v>3388910.12</v>
      </c>
      <c r="G22" s="80">
        <v>3388910.12</v>
      </c>
      <c r="H22" s="367">
        <f t="shared" si="0"/>
        <v>0</v>
      </c>
      <c r="J22" s="274" t="s">
        <v>239</v>
      </c>
      <c r="N22" s="1"/>
    </row>
    <row r="23" spans="1:14" ht="15.6" x14ac:dyDescent="0.3">
      <c r="A23" s="51">
        <v>21</v>
      </c>
      <c r="B23" s="77">
        <v>7640</v>
      </c>
      <c r="C23" s="82">
        <v>14252</v>
      </c>
      <c r="D23" s="449" t="s">
        <v>561</v>
      </c>
      <c r="E23" s="105" t="s">
        <v>559</v>
      </c>
      <c r="F23" s="80">
        <v>3304643.93</v>
      </c>
      <c r="G23" s="80">
        <v>3304643.93</v>
      </c>
      <c r="H23" s="367">
        <f t="shared" si="0"/>
        <v>0</v>
      </c>
      <c r="J23" s="274" t="s">
        <v>239</v>
      </c>
    </row>
    <row r="24" spans="1:14" ht="15.6" x14ac:dyDescent="0.3">
      <c r="A24" s="51">
        <v>22</v>
      </c>
      <c r="B24" s="77">
        <v>7640</v>
      </c>
      <c r="C24" s="82">
        <v>14272</v>
      </c>
      <c r="D24" s="449" t="s">
        <v>542</v>
      </c>
      <c r="E24" s="105" t="s">
        <v>560</v>
      </c>
      <c r="F24" s="80">
        <v>1090350</v>
      </c>
      <c r="G24" s="80">
        <v>1090350</v>
      </c>
      <c r="H24" s="367">
        <f t="shared" si="0"/>
        <v>0</v>
      </c>
      <c r="J24" s="274" t="s">
        <v>239</v>
      </c>
    </row>
    <row r="25" spans="1:14" s="642" customFormat="1" ht="15.6" x14ac:dyDescent="0.3">
      <c r="A25" s="51">
        <v>23</v>
      </c>
      <c r="B25" s="77">
        <v>7640</v>
      </c>
      <c r="C25" s="82">
        <v>17809</v>
      </c>
      <c r="D25" s="449" t="s">
        <v>563</v>
      </c>
      <c r="E25" s="105" t="s">
        <v>539</v>
      </c>
      <c r="F25" s="80">
        <v>665280</v>
      </c>
      <c r="G25" s="80">
        <v>665280</v>
      </c>
      <c r="H25" s="367">
        <f t="shared" si="0"/>
        <v>0</v>
      </c>
      <c r="J25" s="274" t="s">
        <v>241</v>
      </c>
    </row>
    <row r="26" spans="1:14" s="642" customFormat="1" ht="15.6" x14ac:dyDescent="0.3">
      <c r="A26" s="51">
        <v>24</v>
      </c>
      <c r="B26" s="77">
        <v>7640</v>
      </c>
      <c r="C26" s="82">
        <v>17837</v>
      </c>
      <c r="D26" s="449" t="s">
        <v>569</v>
      </c>
      <c r="E26" s="105" t="s">
        <v>570</v>
      </c>
      <c r="F26" s="80">
        <v>1989623</v>
      </c>
      <c r="G26" s="80">
        <v>1989623</v>
      </c>
      <c r="H26" s="367">
        <f t="shared" si="0"/>
        <v>0</v>
      </c>
      <c r="J26" s="274" t="s">
        <v>239</v>
      </c>
    </row>
    <row r="27" spans="1:14" s="621" customFormat="1" ht="15.6" x14ac:dyDescent="0.3">
      <c r="A27" s="51">
        <v>25</v>
      </c>
      <c r="B27" s="77">
        <v>7640</v>
      </c>
      <c r="C27" s="82">
        <v>17845</v>
      </c>
      <c r="D27" s="449" t="s">
        <v>381</v>
      </c>
      <c r="E27" s="105" t="s">
        <v>564</v>
      </c>
      <c r="F27" s="80">
        <v>2421648.4300000002</v>
      </c>
      <c r="G27" s="80">
        <v>2421648.4300000002</v>
      </c>
      <c r="H27" s="367">
        <f t="shared" si="0"/>
        <v>0</v>
      </c>
      <c r="J27" s="274" t="s">
        <v>241</v>
      </c>
    </row>
    <row r="28" spans="1:14" s="621" customFormat="1" ht="15.6" x14ac:dyDescent="0.3">
      <c r="A28" s="51">
        <v>26</v>
      </c>
      <c r="B28" s="77">
        <v>7640</v>
      </c>
      <c r="C28" s="82">
        <v>17878</v>
      </c>
      <c r="D28" s="449" t="s">
        <v>382</v>
      </c>
      <c r="E28" s="105" t="s">
        <v>565</v>
      </c>
      <c r="F28" s="80">
        <v>2249105</v>
      </c>
      <c r="G28" s="80">
        <v>2249105</v>
      </c>
      <c r="H28" s="367">
        <f t="shared" si="0"/>
        <v>0</v>
      </c>
      <c r="J28" s="274" t="s">
        <v>239</v>
      </c>
    </row>
    <row r="29" spans="1:14" s="621" customFormat="1" ht="15.6" x14ac:dyDescent="0.3">
      <c r="A29" s="51">
        <v>27</v>
      </c>
      <c r="B29" s="77">
        <v>7640</v>
      </c>
      <c r="C29" s="82">
        <v>17956</v>
      </c>
      <c r="D29" s="449" t="s">
        <v>335</v>
      </c>
      <c r="E29" s="105" t="s">
        <v>566</v>
      </c>
      <c r="F29" s="80">
        <v>1585787.16</v>
      </c>
      <c r="G29" s="80">
        <v>1585787.16</v>
      </c>
      <c r="H29" s="367">
        <f t="shared" si="0"/>
        <v>0</v>
      </c>
      <c r="J29" s="274" t="s">
        <v>239</v>
      </c>
    </row>
    <row r="30" spans="1:14" ht="15.6" x14ac:dyDescent="0.3">
      <c r="A30" s="51">
        <v>28</v>
      </c>
      <c r="B30" s="77">
        <v>7640</v>
      </c>
      <c r="C30" s="82">
        <v>17957</v>
      </c>
      <c r="D30" s="449" t="s">
        <v>244</v>
      </c>
      <c r="E30" s="54" t="s">
        <v>567</v>
      </c>
      <c r="F30" s="80">
        <v>588446.25</v>
      </c>
      <c r="G30" s="80">
        <v>588446.25</v>
      </c>
      <c r="H30" s="367">
        <f t="shared" si="0"/>
        <v>0</v>
      </c>
      <c r="J30" s="274" t="s">
        <v>244</v>
      </c>
    </row>
    <row r="31" spans="1:14" ht="15.6" x14ac:dyDescent="0.3">
      <c r="A31" s="51">
        <v>29</v>
      </c>
      <c r="B31" s="77">
        <v>7640</v>
      </c>
      <c r="C31" s="82">
        <v>17969</v>
      </c>
      <c r="D31" s="449" t="s">
        <v>292</v>
      </c>
      <c r="E31" s="54" t="s">
        <v>568</v>
      </c>
      <c r="F31" s="80">
        <v>1448690.07</v>
      </c>
      <c r="G31" s="80">
        <v>1448690.07</v>
      </c>
      <c r="H31" s="367">
        <f t="shared" si="0"/>
        <v>0</v>
      </c>
      <c r="J31" s="274" t="s">
        <v>244</v>
      </c>
    </row>
    <row r="32" spans="1:14" ht="15.6" x14ac:dyDescent="0.3">
      <c r="A32" s="51">
        <v>30</v>
      </c>
      <c r="B32" s="77">
        <v>7640</v>
      </c>
      <c r="C32" s="82">
        <v>20014</v>
      </c>
      <c r="D32" s="449" t="s">
        <v>391</v>
      </c>
      <c r="E32" s="105" t="s">
        <v>392</v>
      </c>
      <c r="F32" s="80">
        <v>423794.56</v>
      </c>
      <c r="G32" s="80">
        <v>423794.56</v>
      </c>
      <c r="H32" s="367">
        <f t="shared" si="0"/>
        <v>0</v>
      </c>
      <c r="J32" s="274" t="s">
        <v>380</v>
      </c>
    </row>
    <row r="33" spans="1:11" ht="15.6" x14ac:dyDescent="0.3">
      <c r="A33" s="51">
        <v>31</v>
      </c>
      <c r="B33" s="77">
        <v>7640</v>
      </c>
      <c r="C33" s="82">
        <v>20015</v>
      </c>
      <c r="D33" s="449" t="s">
        <v>393</v>
      </c>
      <c r="E33" s="54" t="s">
        <v>394</v>
      </c>
      <c r="F33" s="80">
        <v>35000</v>
      </c>
      <c r="G33" s="80">
        <v>35000</v>
      </c>
      <c r="H33" s="367">
        <f t="shared" si="0"/>
        <v>0</v>
      </c>
      <c r="J33" s="274" t="s">
        <v>380</v>
      </c>
    </row>
    <row r="34" spans="1:11" ht="15.6" x14ac:dyDescent="0.3">
      <c r="A34" s="51">
        <v>32</v>
      </c>
      <c r="B34" s="77">
        <v>7640</v>
      </c>
      <c r="C34" s="82">
        <v>20018</v>
      </c>
      <c r="D34" s="449" t="s">
        <v>395</v>
      </c>
      <c r="E34" s="54" t="s">
        <v>396</v>
      </c>
      <c r="F34" s="80">
        <v>1792950.99</v>
      </c>
      <c r="G34" s="80">
        <v>1792950.99</v>
      </c>
      <c r="H34" s="367">
        <f t="shared" si="0"/>
        <v>0</v>
      </c>
      <c r="J34" s="274" t="s">
        <v>399</v>
      </c>
    </row>
    <row r="35" spans="1:11" ht="15.6" x14ac:dyDescent="0.3">
      <c r="A35" s="51">
        <v>33</v>
      </c>
      <c r="B35" s="77">
        <v>7640</v>
      </c>
      <c r="C35" s="82">
        <v>20028</v>
      </c>
      <c r="D35" s="449" t="s">
        <v>397</v>
      </c>
      <c r="E35" s="54" t="s">
        <v>398</v>
      </c>
      <c r="F35" s="80">
        <v>1282592.54</v>
      </c>
      <c r="G35" s="80">
        <v>1282592.54</v>
      </c>
      <c r="H35" s="367">
        <f t="shared" si="0"/>
        <v>0</v>
      </c>
      <c r="J35" s="274" t="s">
        <v>380</v>
      </c>
    </row>
    <row r="36" spans="1:11" s="642" customFormat="1" ht="15.6" x14ac:dyDescent="0.3">
      <c r="A36" s="51">
        <v>34</v>
      </c>
      <c r="B36" s="77">
        <v>7640</v>
      </c>
      <c r="C36" s="82">
        <v>19187</v>
      </c>
      <c r="D36" s="449" t="s">
        <v>574</v>
      </c>
      <c r="E36" s="54" t="s">
        <v>573</v>
      </c>
      <c r="F36" s="80">
        <v>150000</v>
      </c>
      <c r="G36" s="370">
        <v>140381.29999999999</v>
      </c>
      <c r="H36" s="367">
        <f t="shared" si="0"/>
        <v>9618.7000000000116</v>
      </c>
      <c r="J36" s="274" t="s">
        <v>242</v>
      </c>
    </row>
    <row r="37" spans="1:11" ht="15.6" x14ac:dyDescent="0.3">
      <c r="A37" s="51">
        <v>35</v>
      </c>
      <c r="B37" s="261">
        <v>7817</v>
      </c>
      <c r="C37" s="82">
        <v>15598</v>
      </c>
      <c r="D37" s="449" t="s">
        <v>419</v>
      </c>
      <c r="E37" s="726" t="s">
        <v>383</v>
      </c>
      <c r="F37" s="457">
        <v>312884.24</v>
      </c>
      <c r="G37" s="457">
        <v>312884.24</v>
      </c>
      <c r="H37" s="367">
        <f t="shared" si="0"/>
        <v>0</v>
      </c>
      <c r="J37" s="274" t="s">
        <v>293</v>
      </c>
    </row>
    <row r="38" spans="1:11" ht="15.6" x14ac:dyDescent="0.3">
      <c r="A38" s="51">
        <v>36</v>
      </c>
      <c r="B38" s="261">
        <v>7817</v>
      </c>
      <c r="C38" s="82">
        <v>15615</v>
      </c>
      <c r="D38" s="449" t="s">
        <v>419</v>
      </c>
      <c r="E38" s="499" t="s">
        <v>522</v>
      </c>
      <c r="F38" s="370">
        <v>129869.14</v>
      </c>
      <c r="G38" s="370">
        <v>129869.14</v>
      </c>
      <c r="H38" s="367">
        <f t="shared" si="0"/>
        <v>0</v>
      </c>
      <c r="J38" s="274" t="s">
        <v>293</v>
      </c>
    </row>
    <row r="39" spans="1:11" ht="31.8" thickBot="1" x14ac:dyDescent="0.35">
      <c r="A39" s="305">
        <v>37</v>
      </c>
      <c r="B39" s="306">
        <v>7817</v>
      </c>
      <c r="C39" s="307">
        <v>20035</v>
      </c>
      <c r="D39" s="727" t="s">
        <v>571</v>
      </c>
      <c r="E39" s="500" t="s">
        <v>572</v>
      </c>
      <c r="F39" s="370">
        <v>524343.57999999996</v>
      </c>
      <c r="G39" s="370">
        <v>524343.57999999996</v>
      </c>
      <c r="H39" s="367">
        <f t="shared" si="0"/>
        <v>0</v>
      </c>
      <c r="J39" s="274" t="s">
        <v>380</v>
      </c>
    </row>
    <row r="40" spans="1:11" ht="16.2" thickBot="1" x14ac:dyDescent="0.35">
      <c r="A40" s="50"/>
      <c r="B40" s="51"/>
      <c r="C40" s="82"/>
      <c r="D40" s="83"/>
      <c r="E40" s="75"/>
      <c r="F40" s="260">
        <f>SUM(F3:F39)</f>
        <v>48364031.310000002</v>
      </c>
      <c r="G40" s="260">
        <f>SUM(G3:G39)</f>
        <v>48333807.560000002</v>
      </c>
      <c r="H40" s="260">
        <f>SUM(H3:H39)</f>
        <v>30223.75</v>
      </c>
    </row>
    <row r="41" spans="1:11" ht="15.6" x14ac:dyDescent="0.3">
      <c r="A41" s="309" t="s">
        <v>74</v>
      </c>
      <c r="B41" s="51"/>
      <c r="C41" s="82"/>
      <c r="D41" s="83"/>
      <c r="E41" s="75"/>
      <c r="F41" s="84"/>
      <c r="G41" s="84"/>
      <c r="H41" s="84"/>
    </row>
    <row r="42" spans="1:11" x14ac:dyDescent="0.3">
      <c r="A42" s="550" t="s">
        <v>331</v>
      </c>
      <c r="B42" s="549"/>
      <c r="C42" s="549"/>
      <c r="D42" s="185"/>
      <c r="E42" s="185"/>
      <c r="F42" s="185"/>
      <c r="G42" s="185"/>
      <c r="H42" s="185"/>
      <c r="I42" s="185"/>
      <c r="J42" s="196"/>
    </row>
    <row r="43" spans="1:11" x14ac:dyDescent="0.3">
      <c r="A43" s="550" t="s">
        <v>379</v>
      </c>
    </row>
    <row r="44" spans="1:11" s="621" customFormat="1" x14ac:dyDescent="0.3">
      <c r="A44" s="550"/>
      <c r="J44" s="625"/>
    </row>
    <row r="45" spans="1:11" x14ac:dyDescent="0.3">
      <c r="C45" s="525" t="s">
        <v>221</v>
      </c>
      <c r="H45" s="362"/>
      <c r="I45" s="86"/>
      <c r="J45" s="362"/>
      <c r="K45" s="86"/>
    </row>
    <row r="46" spans="1:11" ht="15.6" x14ac:dyDescent="0.3">
      <c r="C46" s="302" t="s">
        <v>4</v>
      </c>
      <c r="D46" s="303" t="s">
        <v>85</v>
      </c>
      <c r="E46" s="303" t="s">
        <v>86</v>
      </c>
      <c r="F46" s="303" t="s">
        <v>55</v>
      </c>
      <c r="H46" s="84"/>
      <c r="I46" s="58"/>
      <c r="J46" s="58"/>
      <c r="K46" s="58"/>
    </row>
    <row r="47" spans="1:11" ht="15.6" x14ac:dyDescent="0.3">
      <c r="C47" s="91" t="s">
        <v>44</v>
      </c>
      <c r="D47" s="91">
        <f>SUMIFS(F3:F39,B3:B39,7620)</f>
        <v>4131520</v>
      </c>
      <c r="E47" s="91">
        <f>SUMIFS(G3:G39,B3:B39,7620)</f>
        <v>4131520</v>
      </c>
      <c r="F47" s="91">
        <f>D47-E47</f>
        <v>0</v>
      </c>
      <c r="H47" s="56"/>
      <c r="I47" s="56"/>
      <c r="J47" s="56"/>
      <c r="K47" s="56"/>
    </row>
    <row r="48" spans="1:11" ht="15.6" x14ac:dyDescent="0.3">
      <c r="C48" s="91" t="s">
        <v>45</v>
      </c>
      <c r="D48" s="91">
        <f>SUMIFS(F3:F39,B3:B39,7630)</f>
        <v>16577209.09</v>
      </c>
      <c r="E48" s="91">
        <f>SUMIFS(G3:G39,B3:B39,7630)</f>
        <v>16556604.039999999</v>
      </c>
      <c r="F48" s="91">
        <f>D48-E48</f>
        <v>20605.050000000745</v>
      </c>
      <c r="H48" s="56"/>
      <c r="I48" s="56"/>
      <c r="J48" s="56"/>
      <c r="K48" s="56"/>
    </row>
    <row r="49" spans="3:11" ht="15.6" x14ac:dyDescent="0.3">
      <c r="C49" s="91" t="s">
        <v>46</v>
      </c>
      <c r="D49" s="91">
        <f>SUMIFS(F3:F39,B3:B39,7640)</f>
        <v>26688205.259999998</v>
      </c>
      <c r="E49" s="91">
        <f>SUMIFS(G3:G39,B3:B39,7640)</f>
        <v>26678586.559999999</v>
      </c>
      <c r="F49" s="91">
        <f>D49-E49</f>
        <v>9618.6999999992549</v>
      </c>
      <c r="H49" s="56"/>
      <c r="I49" s="56"/>
      <c r="J49" s="56"/>
      <c r="K49" s="56"/>
    </row>
    <row r="50" spans="3:11" ht="15.6" x14ac:dyDescent="0.3">
      <c r="C50" s="140" t="s">
        <v>47</v>
      </c>
      <c r="D50" s="140">
        <f>SUMIFS(F3:F39,B3:B39,7817)</f>
        <v>967096.96</v>
      </c>
      <c r="E50" s="140">
        <f>SUMIFS(G3:G39,B3:B39,7817)</f>
        <v>967096.96</v>
      </c>
      <c r="F50" s="140">
        <f>D50-E50</f>
        <v>0</v>
      </c>
      <c r="H50" s="56"/>
      <c r="I50" s="56"/>
      <c r="J50" s="56"/>
      <c r="K50" s="56"/>
    </row>
    <row r="51" spans="3:11" ht="15.6" x14ac:dyDescent="0.3">
      <c r="C51" s="91"/>
      <c r="D51" s="98">
        <f>SUM(D47:D50)</f>
        <v>48364031.309999995</v>
      </c>
      <c r="E51" s="98">
        <f t="shared" ref="E51:F51" si="2">SUM(E47:E50)</f>
        <v>48333807.559999995</v>
      </c>
      <c r="F51" s="98">
        <f t="shared" si="2"/>
        <v>30223.75</v>
      </c>
      <c r="H51" s="56"/>
      <c r="I51" s="84"/>
      <c r="J51" s="84"/>
      <c r="K51" s="84"/>
    </row>
    <row r="52" spans="3:11" ht="9.75" customHeight="1" x14ac:dyDescent="0.3">
      <c r="C52" s="91"/>
      <c r="D52" s="98"/>
      <c r="E52" s="98"/>
      <c r="F52" s="98"/>
      <c r="H52" s="56"/>
      <c r="I52" s="84"/>
      <c r="J52" s="84"/>
      <c r="K52" s="84"/>
    </row>
    <row r="53" spans="3:11" ht="15.6" x14ac:dyDescent="0.3">
      <c r="C53" s="91" t="s">
        <v>264</v>
      </c>
      <c r="D53" s="98"/>
      <c r="E53" s="98"/>
      <c r="F53" s="98"/>
      <c r="H53" s="56"/>
      <c r="I53" s="84"/>
      <c r="J53" s="84"/>
      <c r="K53" s="84"/>
    </row>
    <row r="54" spans="3:11" ht="15.6" x14ac:dyDescent="0.3">
      <c r="C54" s="302" t="s">
        <v>266</v>
      </c>
      <c r="D54" s="303" t="s">
        <v>85</v>
      </c>
      <c r="E54" s="303" t="s">
        <v>265</v>
      </c>
      <c r="F54" s="450" t="s">
        <v>267</v>
      </c>
      <c r="H54" s="56"/>
      <c r="I54" s="84"/>
      <c r="J54" s="84"/>
      <c r="K54" s="84"/>
    </row>
    <row r="55" spans="3:11" ht="15.6" x14ac:dyDescent="0.3">
      <c r="C55" s="525" t="s">
        <v>239</v>
      </c>
      <c r="D55" s="56">
        <f t="shared" ref="D55:D62" si="3">SUMIF($J$3:$J$39,C55,$F$3:$F$39)</f>
        <v>26241532.920000002</v>
      </c>
      <c r="E55" s="451">
        <f>COUNTIF($J$3:$J$39,C55)</f>
        <v>13</v>
      </c>
      <c r="F55" s="58"/>
      <c r="H55" s="56"/>
      <c r="I55" s="84"/>
      <c r="J55" s="84"/>
      <c r="K55" s="84"/>
    </row>
    <row r="56" spans="3:11" ht="15.6" x14ac:dyDescent="0.3">
      <c r="C56" s="525" t="s">
        <v>399</v>
      </c>
      <c r="D56" s="56">
        <f t="shared" si="3"/>
        <v>1792950.99</v>
      </c>
      <c r="E56" s="451">
        <f>COUNTIF($J$3:$J$39,C56)</f>
        <v>1</v>
      </c>
      <c r="F56" s="58"/>
      <c r="H56" s="56"/>
      <c r="I56" s="84"/>
      <c r="J56" s="84"/>
      <c r="K56" s="84"/>
    </row>
    <row r="57" spans="3:11" ht="15.6" x14ac:dyDescent="0.3">
      <c r="C57" s="525" t="s">
        <v>240</v>
      </c>
      <c r="D57" s="56">
        <f t="shared" si="3"/>
        <v>7074952.7599999998</v>
      </c>
      <c r="E57" s="451">
        <f>COUNTIF($J$3:$J$39,C57)</f>
        <v>4</v>
      </c>
      <c r="F57" s="58"/>
      <c r="H57" s="56"/>
      <c r="I57" s="84"/>
      <c r="J57" s="84"/>
      <c r="K57" s="84"/>
    </row>
    <row r="58" spans="3:11" ht="15.6" x14ac:dyDescent="0.3">
      <c r="C58" s="525" t="s">
        <v>241</v>
      </c>
      <c r="D58" s="56">
        <f t="shared" si="3"/>
        <v>5777591.5600000005</v>
      </c>
      <c r="E58" s="451">
        <f>COUNTIF($J$3:$J$39,C58)</f>
        <v>5</v>
      </c>
      <c r="F58" s="58"/>
      <c r="H58" s="56"/>
      <c r="I58" s="84"/>
      <c r="J58" s="84"/>
      <c r="K58" s="84"/>
    </row>
    <row r="59" spans="3:11" ht="15.6" x14ac:dyDescent="0.3">
      <c r="C59" s="525" t="s">
        <v>293</v>
      </c>
      <c r="D59" s="56">
        <f t="shared" si="3"/>
        <v>442753.38</v>
      </c>
      <c r="E59" s="451">
        <f>COUNTIF($J$3:$J$39,C59)+1</f>
        <v>3</v>
      </c>
      <c r="F59" s="58"/>
      <c r="H59" s="56"/>
      <c r="I59" s="84"/>
      <c r="J59" s="84"/>
      <c r="K59" s="84"/>
    </row>
    <row r="60" spans="3:11" ht="15.6" x14ac:dyDescent="0.3">
      <c r="C60" s="525" t="s">
        <v>380</v>
      </c>
      <c r="D60" s="56">
        <f t="shared" si="3"/>
        <v>3630804.71</v>
      </c>
      <c r="E60" s="451">
        <f>COUNTIF($J$3:$J$39,C60)</f>
        <v>6</v>
      </c>
      <c r="F60" s="368"/>
      <c r="H60" s="56"/>
      <c r="I60" s="84"/>
      <c r="J60" s="84"/>
      <c r="K60" s="84"/>
    </row>
    <row r="61" spans="3:11" ht="15.6" x14ac:dyDescent="0.3">
      <c r="C61" s="525" t="s">
        <v>244</v>
      </c>
      <c r="D61" s="56">
        <f t="shared" si="3"/>
        <v>2037136.32</v>
      </c>
      <c r="E61" s="451">
        <f>COUNTIF($J$3:$J$39,C61)</f>
        <v>2</v>
      </c>
      <c r="F61" s="368"/>
      <c r="H61" s="56"/>
      <c r="I61" s="84"/>
      <c r="J61" s="84"/>
      <c r="K61" s="84"/>
    </row>
    <row r="62" spans="3:11" ht="16.2" thickBot="1" x14ac:dyDescent="0.35">
      <c r="C62" s="151" t="s">
        <v>242</v>
      </c>
      <c r="D62" s="452">
        <f t="shared" si="3"/>
        <v>1366308.67</v>
      </c>
      <c r="E62" s="453">
        <f>COUNTIF($J$3:$J$39,C62)-1</f>
        <v>3</v>
      </c>
      <c r="F62" s="651" t="s">
        <v>268</v>
      </c>
      <c r="H62" s="56"/>
      <c r="I62" s="84"/>
      <c r="J62" s="84"/>
      <c r="K62" s="84"/>
    </row>
    <row r="63" spans="3:11" ht="16.2" thickTop="1" x14ac:dyDescent="0.3">
      <c r="D63" s="75">
        <f>SUM(D55:D62)</f>
        <v>48364031.31000001</v>
      </c>
      <c r="E63" s="412">
        <f>SUM(E55:E62)</f>
        <v>37</v>
      </c>
      <c r="F63" s="75"/>
      <c r="H63" s="56"/>
      <c r="I63" s="84"/>
      <c r="J63" s="84"/>
      <c r="K63" s="84"/>
    </row>
    <row r="64" spans="3:11" ht="21" customHeight="1" x14ac:dyDescent="0.3">
      <c r="C64" s="91"/>
      <c r="H64" s="86"/>
      <c r="I64" s="86"/>
      <c r="J64" s="362"/>
      <c r="K64" s="86"/>
    </row>
    <row r="65" spans="1:10" ht="33" customHeight="1" x14ac:dyDescent="0.3">
      <c r="C65" s="91"/>
      <c r="D65" s="425"/>
    </row>
    <row r="66" spans="1:10" x14ac:dyDescent="0.3">
      <c r="A66" s="147" t="s">
        <v>226</v>
      </c>
    </row>
    <row r="67" spans="1:10" ht="20.100000000000001" customHeight="1" x14ac:dyDescent="0.3">
      <c r="A67" s="258" t="s">
        <v>192</v>
      </c>
      <c r="B67" s="258" t="s">
        <v>59</v>
      </c>
      <c r="C67" s="258" t="s">
        <v>81</v>
      </c>
      <c r="D67" s="258"/>
      <c r="E67" s="258" t="s">
        <v>82</v>
      </c>
      <c r="F67" s="258" t="s">
        <v>63</v>
      </c>
      <c r="G67" s="258" t="s">
        <v>248</v>
      </c>
      <c r="H67" s="258" t="s">
        <v>247</v>
      </c>
    </row>
    <row r="68" spans="1:10" ht="15.6" x14ac:dyDescent="0.3">
      <c r="A68" s="51">
        <v>1</v>
      </c>
      <c r="B68" s="82">
        <v>7630</v>
      </c>
      <c r="C68" s="82">
        <v>11128</v>
      </c>
      <c r="D68" s="83" t="s">
        <v>332</v>
      </c>
      <c r="E68" s="56">
        <v>302048.26</v>
      </c>
      <c r="F68" s="56"/>
      <c r="G68" s="497">
        <f>F68-E68</f>
        <v>-302048.26</v>
      </c>
      <c r="H68" s="82" t="s">
        <v>531</v>
      </c>
    </row>
    <row r="69" spans="1:10" s="642" customFormat="1" ht="15.6" x14ac:dyDescent="0.3">
      <c r="A69" s="51">
        <v>2</v>
      </c>
      <c r="B69" s="82">
        <v>7640</v>
      </c>
      <c r="C69" s="82">
        <v>11134</v>
      </c>
      <c r="D69" s="83" t="s">
        <v>523</v>
      </c>
      <c r="E69" s="56">
        <v>11172.79</v>
      </c>
      <c r="F69" s="56"/>
      <c r="G69" s="497">
        <f>F69-E69</f>
        <v>-11172.79</v>
      </c>
      <c r="H69" s="729" t="s">
        <v>529</v>
      </c>
      <c r="J69" s="645"/>
    </row>
    <row r="70" spans="1:10" ht="15.6" x14ac:dyDescent="0.3">
      <c r="A70" s="51">
        <v>3</v>
      </c>
      <c r="B70" s="82">
        <v>7640</v>
      </c>
      <c r="C70" s="82">
        <v>11137</v>
      </c>
      <c r="D70" s="83" t="s">
        <v>400</v>
      </c>
      <c r="E70" s="56">
        <v>241146.97</v>
      </c>
      <c r="F70" s="56"/>
      <c r="G70" s="497">
        <f t="shared" ref="G70:G71" si="4">F70-E70</f>
        <v>-241146.97</v>
      </c>
      <c r="H70" s="729" t="s">
        <v>529</v>
      </c>
    </row>
    <row r="71" spans="1:10" ht="15.6" x14ac:dyDescent="0.3">
      <c r="A71" s="305">
        <v>4</v>
      </c>
      <c r="B71" s="307">
        <v>7640</v>
      </c>
      <c r="C71" s="307">
        <v>11150</v>
      </c>
      <c r="D71" s="308" t="s">
        <v>524</v>
      </c>
      <c r="E71" s="369">
        <v>118561.56</v>
      </c>
      <c r="F71" s="369"/>
      <c r="G71" s="498">
        <f t="shared" si="4"/>
        <v>-118561.56</v>
      </c>
      <c r="H71" s="730" t="s">
        <v>530</v>
      </c>
    </row>
    <row r="72" spans="1:10" ht="15.6" x14ac:dyDescent="0.3">
      <c r="A72" s="51"/>
      <c r="B72" s="82"/>
      <c r="C72" s="82"/>
      <c r="D72" s="83"/>
      <c r="E72" s="56">
        <f>SUM(E68:E71)</f>
        <v>672929.58000000007</v>
      </c>
      <c r="F72" s="56">
        <f>SUM(F68:F71)</f>
        <v>0</v>
      </c>
      <c r="G72" s="510">
        <f>F72-E72</f>
        <v>-672929.58000000007</v>
      </c>
      <c r="H72" s="91"/>
      <c r="J72" s="231"/>
    </row>
    <row r="73" spans="1:10" ht="25.5" customHeight="1" x14ac:dyDescent="0.3"/>
    <row r="74" spans="1:10" x14ac:dyDescent="0.3">
      <c r="A74" s="147" t="s">
        <v>223</v>
      </c>
    </row>
    <row r="75" spans="1:10" ht="20.100000000000001" customHeight="1" x14ac:dyDescent="0.3">
      <c r="A75" s="258" t="s">
        <v>192</v>
      </c>
      <c r="B75" s="258" t="s">
        <v>59</v>
      </c>
      <c r="C75" s="258" t="s">
        <v>81</v>
      </c>
      <c r="D75" s="258"/>
      <c r="E75" s="258" t="s">
        <v>63</v>
      </c>
      <c r="F75" s="258" t="s">
        <v>21</v>
      </c>
      <c r="G75" s="258" t="s">
        <v>214</v>
      </c>
    </row>
    <row r="76" spans="1:10" ht="20.100000000000001" customHeight="1" x14ac:dyDescent="0.3">
      <c r="A76" s="533">
        <v>1</v>
      </c>
      <c r="B76" s="82">
        <v>7630</v>
      </c>
      <c r="C76" s="107">
        <v>14820</v>
      </c>
      <c r="D76" s="638" t="s">
        <v>309</v>
      </c>
      <c r="E76" s="56">
        <v>32871</v>
      </c>
      <c r="F76" s="56">
        <v>32871</v>
      </c>
      <c r="G76" s="368">
        <f t="shared" ref="G76:G82" si="5">F76-E76</f>
        <v>0</v>
      </c>
    </row>
    <row r="77" spans="1:10" ht="15.6" x14ac:dyDescent="0.3">
      <c r="A77" s="51">
        <v>2</v>
      </c>
      <c r="B77" s="82">
        <v>7630</v>
      </c>
      <c r="C77" s="107">
        <v>14821</v>
      </c>
      <c r="D77" s="638" t="s">
        <v>310</v>
      </c>
      <c r="E77" s="56">
        <v>73012.3</v>
      </c>
      <c r="F77" s="56">
        <v>73012.3</v>
      </c>
      <c r="G77" s="368">
        <f t="shared" si="5"/>
        <v>0</v>
      </c>
    </row>
    <row r="78" spans="1:10" ht="15.6" x14ac:dyDescent="0.3">
      <c r="A78" s="51">
        <v>3</v>
      </c>
      <c r="B78" s="82">
        <v>7630</v>
      </c>
      <c r="C78" s="107">
        <v>14828</v>
      </c>
      <c r="D78" s="638" t="s">
        <v>333</v>
      </c>
      <c r="E78" s="56">
        <v>215826.07</v>
      </c>
      <c r="F78" s="56">
        <v>215826.07</v>
      </c>
      <c r="G78" s="368">
        <f t="shared" si="5"/>
        <v>0</v>
      </c>
    </row>
    <row r="79" spans="1:10" ht="15.6" x14ac:dyDescent="0.3">
      <c r="A79" s="51">
        <v>4</v>
      </c>
      <c r="B79" s="82">
        <v>7640</v>
      </c>
      <c r="C79" s="596">
        <v>13755</v>
      </c>
      <c r="D79" s="728" t="s">
        <v>403</v>
      </c>
      <c r="E79" s="56">
        <v>198000</v>
      </c>
      <c r="F79" s="56">
        <v>198000</v>
      </c>
      <c r="G79" s="368">
        <f t="shared" si="5"/>
        <v>0</v>
      </c>
    </row>
    <row r="80" spans="1:10" ht="15.6" x14ac:dyDescent="0.3">
      <c r="A80" s="51">
        <v>5</v>
      </c>
      <c r="B80" s="82">
        <v>7640</v>
      </c>
      <c r="C80" s="107">
        <v>14843</v>
      </c>
      <c r="D80" s="638" t="s">
        <v>401</v>
      </c>
      <c r="E80" s="56">
        <v>367865.14</v>
      </c>
      <c r="F80" s="56">
        <v>367865.14</v>
      </c>
      <c r="G80" s="368">
        <f t="shared" si="5"/>
        <v>0</v>
      </c>
    </row>
    <row r="81" spans="1:10" ht="15.6" x14ac:dyDescent="0.3">
      <c r="A81" s="51">
        <v>6</v>
      </c>
      <c r="B81" s="82">
        <v>7640</v>
      </c>
      <c r="C81" s="107">
        <v>14849</v>
      </c>
      <c r="D81" s="638" t="s">
        <v>334</v>
      </c>
      <c r="E81" s="56">
        <v>224475.19</v>
      </c>
      <c r="F81" s="56">
        <v>224475.19</v>
      </c>
      <c r="G81" s="368">
        <f t="shared" si="5"/>
        <v>0</v>
      </c>
    </row>
    <row r="82" spans="1:10" s="642" customFormat="1" ht="15.6" x14ac:dyDescent="0.3">
      <c r="A82" s="51">
        <v>7</v>
      </c>
      <c r="B82" s="82">
        <v>7640</v>
      </c>
      <c r="C82" s="107">
        <v>14854</v>
      </c>
      <c r="D82" s="638" t="s">
        <v>402</v>
      </c>
      <c r="E82" s="56">
        <v>580296.46</v>
      </c>
      <c r="F82" s="56">
        <v>580296.46</v>
      </c>
      <c r="G82" s="368">
        <f t="shared" si="5"/>
        <v>0</v>
      </c>
      <c r="J82" s="645"/>
    </row>
    <row r="83" spans="1:10" ht="15.6" x14ac:dyDescent="0.3">
      <c r="C83" s="107"/>
      <c r="D83" s="638"/>
      <c r="E83" s="91"/>
      <c r="F83" s="91"/>
      <c r="G83" s="91"/>
    </row>
  </sheetData>
  <phoneticPr fontId="77" type="noConversion"/>
  <pageMargins left="0.31496062992125984" right="0.31496062992125984" top="0.39370078740157483" bottom="0.39370078740157483" header="0.31496062992125984" footer="0.31496062992125984"/>
  <pageSetup paperSize="9" scale="60" orientation="portrait" r:id="rId1"/>
  <rowBreaks count="1" manualBreakCount="1">
    <brk id="5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30</vt:i4>
      </vt:variant>
    </vt:vector>
  </HeadingPairs>
  <TitlesOfParts>
    <vt:vector size="47" baseType="lpstr">
      <vt:lpstr>Titulní list</vt:lpstr>
      <vt:lpstr>Rozpočet TUL</vt:lpstr>
      <vt:lpstr>Dodatek rozpočtu</vt:lpstr>
      <vt:lpstr>Rozpočet FMIMS</vt:lpstr>
      <vt:lpstr>HV 2025 přehled</vt:lpstr>
      <vt:lpstr>Hospodaření_106</vt:lpstr>
      <vt:lpstr>DFM čerpání</vt:lpstr>
      <vt:lpstr>DFM_SFM mzdove náklady</vt:lpstr>
      <vt:lpstr>Projekty</vt:lpstr>
      <vt:lpstr>117</vt:lpstr>
      <vt:lpstr>SGS</vt:lpstr>
      <vt:lpstr>Ostatní činnost</vt:lpstr>
      <vt:lpstr>Doplňková činnost</vt:lpstr>
      <vt:lpstr>Stipendia</vt:lpstr>
      <vt:lpstr>Rezervní fond</vt:lpstr>
      <vt:lpstr>FRIM</vt:lpstr>
      <vt:lpstr>Přehled_závěr</vt:lpstr>
      <vt:lpstr>Projekty!druhy</vt:lpstr>
      <vt:lpstr>'117'!Oblast_tisku</vt:lpstr>
      <vt:lpstr>'DFM čerpání'!Oblast_tisku</vt:lpstr>
      <vt:lpstr>'DFM_SFM mzdove náklady'!Oblast_tisku</vt:lpstr>
      <vt:lpstr>'Doplňková činnost'!Oblast_tisku</vt:lpstr>
      <vt:lpstr>FRIM!Oblast_tisku</vt:lpstr>
      <vt:lpstr>Hospodaření_106!Oblast_tisku</vt:lpstr>
      <vt:lpstr>'HV 2025 přehled'!Oblast_tisku</vt:lpstr>
      <vt:lpstr>'Ostatní činnost'!Oblast_tisku</vt:lpstr>
      <vt:lpstr>Projekty!Oblast_tisku</vt:lpstr>
      <vt:lpstr>Přehled_závěr!Oblast_tisku</vt:lpstr>
      <vt:lpstr>'Rezervní fond'!Oblast_tisku</vt:lpstr>
      <vt:lpstr>'Rozpočet FMIMS'!Oblast_tisku</vt:lpstr>
      <vt:lpstr>SGS!Oblast_tisku</vt:lpstr>
      <vt:lpstr>Stipendia!Oblast_tisku</vt:lpstr>
      <vt:lpstr>'117'!Print_Area</vt:lpstr>
      <vt:lpstr>'DFM čerpání'!Print_Area</vt:lpstr>
      <vt:lpstr>'DFM_SFM mzdove náklady'!Print_Area</vt:lpstr>
      <vt:lpstr>'Doplňková činnost'!Print_Area</vt:lpstr>
      <vt:lpstr>FRIM!Print_Area</vt:lpstr>
      <vt:lpstr>Hospodaření_106!Print_Area</vt:lpstr>
      <vt:lpstr>'HV 2025 přehled'!Print_Area</vt:lpstr>
      <vt:lpstr>'Ostatní činnost'!Print_Area</vt:lpstr>
      <vt:lpstr>Projekty!Print_Area</vt:lpstr>
      <vt:lpstr>Přehled_závěr!Print_Area</vt:lpstr>
      <vt:lpstr>'Rezervní fond'!Print_Area</vt:lpstr>
      <vt:lpstr>'Rozpočet FMIMS'!Print_Area</vt:lpstr>
      <vt:lpstr>SGS!Print_Area</vt:lpstr>
      <vt:lpstr>Stipendia!Print_Area</vt:lpstr>
      <vt:lpstr>'Titulní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cp:lastPrinted>2025-04-01T11:10:14Z</cp:lastPrinted>
  <dcterms:created xsi:type="dcterms:W3CDTF">2019-01-04T07:17:35Z</dcterms:created>
  <dcterms:modified xsi:type="dcterms:W3CDTF">2026-03-10T07:33:51Z</dcterms:modified>
</cp:coreProperties>
</file>